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cky\Documents\Site 21-03-17\free templates\"/>
    </mc:Choice>
  </mc:AlternateContent>
  <xr:revisionPtr revIDLastSave="0" documentId="8_{4A60F87E-A942-4EC2-919F-ABA115CA0D07}" xr6:coauthVersionLast="32" xr6:coauthVersionMax="32" xr10:uidLastSave="{00000000-0000-0000-0000-000000000000}"/>
  <bookViews>
    <workbookView xWindow="0" yWindow="0" windowWidth="22056" windowHeight="8928" xr2:uid="{00000000-000D-0000-FFFF-FFFF00000000}"/>
  </bookViews>
  <sheets>
    <sheet name="SPC" sheetId="1" r:id="rId1"/>
    <sheet name="Formule" sheetId="2" r:id="rId2"/>
  </sheets>
  <definedNames>
    <definedName name="_xlnm._FilterDatabase" localSheetId="1" hidden="1">Formule!$B$1:$B$26</definedName>
    <definedName name="_xlnm._FilterDatabase" localSheetId="0" hidden="1">SPC!#REF!</definedName>
    <definedName name="_GoA1">[0]!_GoA1</definedName>
    <definedName name="Capture.Capture">[0]!Capture.Capture</definedName>
    <definedName name="HistData2">#REF!</definedName>
    <definedName name="HistData4">#REF!</definedName>
    <definedName name="PCP">#REF!</definedName>
    <definedName name="_xlnm.Print_Area" localSheetId="0">SPC!$A$1:$BA$83</definedName>
    <definedName name="_xlnm.Print_Titles">#REF!</definedName>
  </definedNames>
  <calcPr calcId="162913"/>
</workbook>
</file>

<file path=xl/calcChain.xml><?xml version="1.0" encoding="utf-8"?>
<calcChain xmlns="http://schemas.openxmlformats.org/spreadsheetml/2006/main">
  <c r="P5" i="1" l="1"/>
  <c r="K2" i="1"/>
  <c r="CT39" i="2" l="1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BA30" i="1"/>
  <c r="BA37" i="1" s="1"/>
  <c r="BB30" i="1"/>
  <c r="BB38" i="1" s="1"/>
  <c r="BC30" i="1"/>
  <c r="BC38" i="1" s="1"/>
  <c r="BD30" i="1"/>
  <c r="BD37" i="1" s="1"/>
  <c r="BE30" i="1"/>
  <c r="BE38" i="1" s="1"/>
  <c r="BF30" i="1"/>
  <c r="BF37" i="1" s="1"/>
  <c r="BG30" i="1"/>
  <c r="BG37" i="1" s="1"/>
  <c r="BH30" i="1"/>
  <c r="BH38" i="1" s="1"/>
  <c r="BI30" i="1"/>
  <c r="BI38" i="1" s="1"/>
  <c r="BJ30" i="1"/>
  <c r="BJ37" i="1" s="1"/>
  <c r="BK30" i="1"/>
  <c r="BK38" i="1" s="1"/>
  <c r="BL30" i="1"/>
  <c r="BL38" i="1" s="1"/>
  <c r="BM30" i="1"/>
  <c r="BM37" i="1" s="1"/>
  <c r="BN30" i="1"/>
  <c r="BN38" i="1" s="1"/>
  <c r="BO30" i="1"/>
  <c r="BO37" i="1" s="1"/>
  <c r="BP30" i="1"/>
  <c r="BP37" i="1" s="1"/>
  <c r="BQ30" i="1"/>
  <c r="BQ38" i="1" s="1"/>
  <c r="BR30" i="1"/>
  <c r="BR38" i="1" s="1"/>
  <c r="BS30" i="1"/>
  <c r="BS37" i="1" s="1"/>
  <c r="BT30" i="1"/>
  <c r="BT38" i="1" s="1"/>
  <c r="BU30" i="1"/>
  <c r="BU37" i="1" s="1"/>
  <c r="BV30" i="1"/>
  <c r="BV37" i="1" s="1"/>
  <c r="BW30" i="1"/>
  <c r="BW38" i="1" s="1"/>
  <c r="BC37" i="1"/>
  <c r="BF38" i="1"/>
  <c r="AS88" i="2"/>
  <c r="CS1" i="2"/>
  <c r="AR30" i="1" s="1"/>
  <c r="CT1" i="2"/>
  <c r="AS30" i="1" s="1"/>
  <c r="CU1" i="2"/>
  <c r="AT30" i="1" s="1"/>
  <c r="CV1" i="2"/>
  <c r="AU30" i="1" s="1"/>
  <c r="CW1" i="2"/>
  <c r="AV30" i="1" s="1"/>
  <c r="CX1" i="2"/>
  <c r="AW30" i="1" s="1"/>
  <c r="CY1" i="2"/>
  <c r="AX30" i="1" s="1"/>
  <c r="CZ1" i="2"/>
  <c r="AY30" i="1" s="1"/>
  <c r="DA1" i="2"/>
  <c r="AZ30" i="1" s="1"/>
  <c r="CD1" i="2"/>
  <c r="AC30" i="1" s="1"/>
  <c r="CE1" i="2"/>
  <c r="AD30" i="1" s="1"/>
  <c r="CF1" i="2"/>
  <c r="AE30" i="1" s="1"/>
  <c r="CG1" i="2"/>
  <c r="AF30" i="1" s="1"/>
  <c r="CH1" i="2"/>
  <c r="AG30" i="1" s="1"/>
  <c r="CI1" i="2"/>
  <c r="AH30" i="1" s="1"/>
  <c r="CJ1" i="2"/>
  <c r="AI30" i="1" s="1"/>
  <c r="CK1" i="2"/>
  <c r="AJ30" i="1" s="1"/>
  <c r="CL1" i="2"/>
  <c r="AK30" i="1" s="1"/>
  <c r="CM1" i="2"/>
  <c r="AL30" i="1" s="1"/>
  <c r="CN1" i="2"/>
  <c r="AM30" i="1" s="1"/>
  <c r="CO1" i="2"/>
  <c r="AN30" i="1" s="1"/>
  <c r="CP1" i="2"/>
  <c r="AO30" i="1" s="1"/>
  <c r="CQ1" i="2"/>
  <c r="AP30" i="1" s="1"/>
  <c r="CR1" i="2"/>
  <c r="AQ30" i="1" s="1"/>
  <c r="BE1" i="2"/>
  <c r="D30" i="1" s="1"/>
  <c r="BF1" i="2"/>
  <c r="E30" i="1" s="1"/>
  <c r="BG1" i="2"/>
  <c r="F30" i="1" s="1"/>
  <c r="BH1" i="2"/>
  <c r="G30" i="1" s="1"/>
  <c r="BI1" i="2"/>
  <c r="H30" i="1" s="1"/>
  <c r="BJ1" i="2"/>
  <c r="I30" i="1" s="1"/>
  <c r="BK1" i="2"/>
  <c r="J30" i="1" s="1"/>
  <c r="BL1" i="2"/>
  <c r="K30" i="1" s="1"/>
  <c r="BM1" i="2"/>
  <c r="L30" i="1" s="1"/>
  <c r="BN1" i="2"/>
  <c r="M30" i="1" s="1"/>
  <c r="BO1" i="2"/>
  <c r="N30" i="1" s="1"/>
  <c r="BP1" i="2"/>
  <c r="O30" i="1" s="1"/>
  <c r="BQ1" i="2"/>
  <c r="P30" i="1" s="1"/>
  <c r="BR1" i="2"/>
  <c r="Q30" i="1" s="1"/>
  <c r="BS1" i="2"/>
  <c r="R30" i="1" s="1"/>
  <c r="BT1" i="2"/>
  <c r="S30" i="1" s="1"/>
  <c r="BU1" i="2"/>
  <c r="T30" i="1" s="1"/>
  <c r="BV1" i="2"/>
  <c r="U30" i="1" s="1"/>
  <c r="BW1" i="2"/>
  <c r="V30" i="1" s="1"/>
  <c r="BX1" i="2"/>
  <c r="W30" i="1" s="1"/>
  <c r="BY1" i="2"/>
  <c r="X30" i="1" s="1"/>
  <c r="BZ1" i="2"/>
  <c r="Y30" i="1" s="1"/>
  <c r="CA1" i="2"/>
  <c r="Z30" i="1" s="1"/>
  <c r="CB1" i="2"/>
  <c r="AA30" i="1" s="1"/>
  <c r="CC1" i="2"/>
  <c r="AB30" i="1" s="1"/>
  <c r="BD1" i="2"/>
  <c r="C30" i="1" s="1"/>
  <c r="BR37" i="1" l="1"/>
  <c r="BG38" i="1"/>
  <c r="BU38" i="1"/>
  <c r="BJ38" i="1"/>
  <c r="BD38" i="1"/>
  <c r="BM38" i="1"/>
  <c r="BL37" i="1"/>
  <c r="BI37" i="1"/>
  <c r="BO38" i="1"/>
  <c r="AL38" i="1"/>
  <c r="AI38" i="1"/>
  <c r="AF38" i="1"/>
  <c r="BA38" i="1"/>
  <c r="BR90" i="2" s="1"/>
  <c r="BE37" i="1"/>
  <c r="AC38" i="1"/>
  <c r="BN37" i="1"/>
  <c r="BH37" i="1"/>
  <c r="BV38" i="1"/>
  <c r="BP38" i="1"/>
  <c r="BB37" i="1"/>
  <c r="BW37" i="1"/>
  <c r="BQ37" i="1"/>
  <c r="BS38" i="1"/>
  <c r="BT37" i="1"/>
  <c r="BK37" i="1"/>
  <c r="AM37" i="1"/>
  <c r="AM38" i="1"/>
  <c r="AY37" i="1"/>
  <c r="AY38" i="1"/>
  <c r="AV37" i="1"/>
  <c r="AV38" i="1"/>
  <c r="AO37" i="1"/>
  <c r="AO38" i="1"/>
  <c r="AX37" i="1"/>
  <c r="AX38" i="1"/>
  <c r="AU37" i="1"/>
  <c r="AU38" i="1"/>
  <c r="AQ38" i="1"/>
  <c r="AQ37" i="1"/>
  <c r="AN38" i="1"/>
  <c r="AN37" i="1"/>
  <c r="AZ38" i="1"/>
  <c r="AZ37" i="1"/>
  <c r="AW38" i="1"/>
  <c r="AW37" i="1"/>
  <c r="AT38" i="1"/>
  <c r="AT37" i="1"/>
  <c r="AP37" i="1"/>
  <c r="AP38" i="1"/>
  <c r="AS37" i="1"/>
  <c r="AS38" i="1"/>
  <c r="AR37" i="1"/>
  <c r="AR38" i="1"/>
  <c r="AK37" i="1"/>
  <c r="AK38" i="1"/>
  <c r="AE38" i="1"/>
  <c r="AE37" i="1"/>
  <c r="AH37" i="1"/>
  <c r="AH38" i="1"/>
  <c r="AJ38" i="1"/>
  <c r="AJ37" i="1"/>
  <c r="AG37" i="1"/>
  <c r="AG38" i="1"/>
  <c r="AD37" i="1"/>
  <c r="AD38" i="1"/>
  <c r="AB38" i="1"/>
  <c r="AS90" i="2" s="1"/>
  <c r="AB37" i="1"/>
  <c r="AL37" i="1"/>
  <c r="AI37" i="1"/>
  <c r="AF37" i="1"/>
  <c r="AC37" i="1"/>
  <c r="D186" i="2" l="1"/>
  <c r="C192" i="2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U61" i="2"/>
  <c r="V61" i="2" s="1"/>
  <c r="W61" i="2" s="1"/>
  <c r="X61" i="2" s="1"/>
  <c r="Y61" i="2" s="1"/>
  <c r="T85" i="2"/>
  <c r="X86" i="2" s="1"/>
  <c r="U85" i="2"/>
  <c r="AS87" i="2" s="1"/>
  <c r="V85" i="2"/>
  <c r="U89" i="2" s="1"/>
  <c r="T88" i="2"/>
  <c r="U88" i="2"/>
  <c r="V88" i="2"/>
  <c r="W88" i="2"/>
  <c r="W87" i="2" s="1"/>
  <c r="X88" i="2"/>
  <c r="Y88" i="2"/>
  <c r="V89" i="2"/>
  <c r="X89" i="2"/>
  <c r="Y89" i="2"/>
  <c r="R92" i="2"/>
  <c r="R93" i="2"/>
  <c r="R94" i="2"/>
  <c r="R95" i="2"/>
  <c r="R96" i="2"/>
  <c r="R97" i="2"/>
  <c r="S98" i="2"/>
  <c r="S99" i="2"/>
  <c r="S100" i="2"/>
  <c r="S101" i="2"/>
  <c r="T109" i="2"/>
  <c r="T110" i="2" s="1"/>
  <c r="T111" i="2" s="1"/>
  <c r="T112" i="2" s="1"/>
  <c r="T113" i="2" s="1"/>
  <c r="T114" i="2" s="1"/>
  <c r="T115" i="2" s="1"/>
  <c r="T116" i="2" s="1"/>
  <c r="T118" i="2" s="1"/>
  <c r="T119" i="2" s="1"/>
  <c r="T120" i="2" s="1"/>
  <c r="T121" i="2" s="1"/>
  <c r="T122" i="2" s="1"/>
  <c r="T123" i="2" s="1"/>
  <c r="T124" i="2" s="1"/>
  <c r="R128" i="2"/>
  <c r="E180" i="2"/>
  <c r="T86" i="2" l="1"/>
  <c r="X87" i="2"/>
  <c r="U87" i="2"/>
  <c r="Y87" i="2"/>
  <c r="V87" i="2"/>
  <c r="S106" i="2"/>
  <c r="R106" i="2"/>
  <c r="U86" i="2"/>
  <c r="AS86" i="2"/>
  <c r="Y86" i="2"/>
  <c r="T89" i="2"/>
  <c r="AS89" i="2"/>
  <c r="T87" i="2"/>
  <c r="W86" i="2"/>
  <c r="D180" i="2"/>
  <c r="V86" i="2"/>
  <c r="W89" i="2"/>
  <c r="BQ90" i="2" l="1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BR88" i="2"/>
  <c r="BQ88" i="2"/>
  <c r="BP88" i="2"/>
  <c r="BO88" i="2"/>
  <c r="BN88" i="2"/>
  <c r="BN87" i="2" s="1"/>
  <c r="BM88" i="2"/>
  <c r="BL88" i="2"/>
  <c r="BK88" i="2"/>
  <c r="BK87" i="2" s="1"/>
  <c r="BJ88" i="2"/>
  <c r="BI88" i="2"/>
  <c r="BH88" i="2"/>
  <c r="BG88" i="2"/>
  <c r="BF88" i="2"/>
  <c r="BE88" i="2"/>
  <c r="BD88" i="2"/>
  <c r="BC88" i="2"/>
  <c r="BB88" i="2"/>
  <c r="BB87" i="2" s="1"/>
  <c r="BA88" i="2"/>
  <c r="AZ88" i="2"/>
  <c r="AY88" i="2"/>
  <c r="AX88" i="2"/>
  <c r="AW88" i="2"/>
  <c r="AV88" i="2"/>
  <c r="AU88" i="2"/>
  <c r="AT88" i="2"/>
  <c r="AR88" i="2"/>
  <c r="AR87" i="2" s="1"/>
  <c r="AQ88" i="2"/>
  <c r="AP88" i="2"/>
  <c r="AO88" i="2"/>
  <c r="AN88" i="2"/>
  <c r="AM88" i="2"/>
  <c r="AL88" i="2"/>
  <c r="AL87" i="2" s="1"/>
  <c r="AK88" i="2"/>
  <c r="AJ88" i="2"/>
  <c r="AI88" i="2"/>
  <c r="AI87" i="2" s="1"/>
  <c r="AH88" i="2"/>
  <c r="AG88" i="2"/>
  <c r="AF88" i="2"/>
  <c r="AE88" i="2"/>
  <c r="AD88" i="2"/>
  <c r="AC88" i="2"/>
  <c r="AC87" i="2" s="1"/>
  <c r="AB88" i="2"/>
  <c r="AA88" i="2"/>
  <c r="Z88" i="2"/>
  <c r="Z87" i="2" s="1"/>
  <c r="BE87" i="2"/>
  <c r="AV87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BQ73" i="2"/>
  <c r="BQ72" i="2"/>
  <c r="BQ71" i="2"/>
  <c r="BQ70" i="2"/>
  <c r="Z61" i="2"/>
  <c r="AA61" i="2" s="1"/>
  <c r="AB61" i="2" s="1"/>
  <c r="AC61" i="2" s="1"/>
  <c r="AD61" i="2" s="1"/>
  <c r="AE61" i="2" s="1"/>
  <c r="AF61" i="2" s="1"/>
  <c r="AG61" i="2" s="1"/>
  <c r="AH61" i="2" s="1"/>
  <c r="AI61" i="2" s="1"/>
  <c r="AJ61" i="2" s="1"/>
  <c r="AK61" i="2" s="1"/>
  <c r="AL61" i="2" s="1"/>
  <c r="AM61" i="2" s="1"/>
  <c r="AN61" i="2" s="1"/>
  <c r="AO61" i="2" s="1"/>
  <c r="AP61" i="2" s="1"/>
  <c r="AQ61" i="2" s="1"/>
  <c r="AR61" i="2" s="1"/>
  <c r="AS61" i="2" s="1"/>
  <c r="AT61" i="2" s="1"/>
  <c r="AU61" i="2" s="1"/>
  <c r="AV61" i="2" s="1"/>
  <c r="AW61" i="2" s="1"/>
  <c r="AX61" i="2" s="1"/>
  <c r="AY61" i="2" s="1"/>
  <c r="AZ61" i="2" s="1"/>
  <c r="BA61" i="2" s="1"/>
  <c r="BB61" i="2" s="1"/>
  <c r="BC61" i="2" s="1"/>
  <c r="BD61" i="2" s="1"/>
  <c r="BE61" i="2" s="1"/>
  <c r="BF61" i="2" s="1"/>
  <c r="BG61" i="2" s="1"/>
  <c r="BH61" i="2" s="1"/>
  <c r="BI61" i="2" s="1"/>
  <c r="BJ61" i="2" s="1"/>
  <c r="BK61" i="2" s="1"/>
  <c r="BL61" i="2" s="1"/>
  <c r="BM61" i="2" s="1"/>
  <c r="BN61" i="2" s="1"/>
  <c r="BO61" i="2" s="1"/>
  <c r="BP61" i="2" s="1"/>
  <c r="BQ61" i="2" s="1"/>
  <c r="BP87" i="2" l="1"/>
  <c r="BM87" i="2"/>
  <c r="BJ87" i="2"/>
  <c r="BG87" i="2"/>
  <c r="BD87" i="2"/>
  <c r="BA87" i="2"/>
  <c r="AX87" i="2"/>
  <c r="AU87" i="2"/>
  <c r="AQ87" i="2"/>
  <c r="AN87" i="2"/>
  <c r="AK87" i="2"/>
  <c r="AH87" i="2"/>
  <c r="AE87" i="2"/>
  <c r="AB87" i="2"/>
  <c r="BR87" i="2"/>
  <c r="BO87" i="2"/>
  <c r="BL87" i="2"/>
  <c r="BI87" i="2"/>
  <c r="BF87" i="2"/>
  <c r="BC87" i="2"/>
  <c r="AZ87" i="2"/>
  <c r="AW87" i="2"/>
  <c r="AT87" i="2"/>
  <c r="AP87" i="2"/>
  <c r="AM87" i="2"/>
  <c r="AJ87" i="2"/>
  <c r="AG87" i="2"/>
  <c r="AD87" i="2"/>
  <c r="AA87" i="2"/>
  <c r="AF87" i="2"/>
  <c r="AO87" i="2"/>
  <c r="AY87" i="2"/>
  <c r="BH87" i="2"/>
  <c r="BQ87" i="2"/>
  <c r="BQ54" i="2"/>
  <c r="BP54" i="2"/>
  <c r="BO54" i="2"/>
  <c r="BN54" i="2"/>
  <c r="BM54" i="2"/>
  <c r="BL54" i="2"/>
  <c r="BK54" i="2"/>
  <c r="BK56" i="2" s="1"/>
  <c r="BJ54" i="2"/>
  <c r="BI54" i="2"/>
  <c r="BH54" i="2"/>
  <c r="BG54" i="2"/>
  <c r="BF54" i="2"/>
  <c r="BE54" i="2"/>
  <c r="BE55" i="2" s="1"/>
  <c r="BD54" i="2"/>
  <c r="BC54" i="2"/>
  <c r="BB54" i="2"/>
  <c r="BA54" i="2"/>
  <c r="AZ54" i="2"/>
  <c r="AZ55" i="2" s="1"/>
  <c r="AY54" i="2"/>
  <c r="AX54" i="2"/>
  <c r="AW54" i="2"/>
  <c r="AV54" i="2"/>
  <c r="AV56" i="2" s="1"/>
  <c r="AU54" i="2"/>
  <c r="AU56" i="2" s="1"/>
  <c r="AT54" i="2"/>
  <c r="AW56" i="2" l="1"/>
  <c r="BB56" i="2"/>
  <c r="BN56" i="2"/>
  <c r="AX56" i="2"/>
  <c r="BL56" i="2"/>
  <c r="BM56" i="2" s="1"/>
  <c r="BF55" i="2"/>
  <c r="BC56" i="2"/>
  <c r="BD56" i="2" s="1"/>
  <c r="BE56" i="2" s="1"/>
  <c r="AV55" i="2"/>
  <c r="AY56" i="2"/>
  <c r="BQ55" i="2"/>
  <c r="AW55" i="2"/>
  <c r="AX55" i="2" s="1"/>
  <c r="AY55" i="2" s="1"/>
  <c r="BL55" i="2"/>
  <c r="BM55" i="2" s="1"/>
  <c r="BN55" i="2" s="1"/>
  <c r="BO55" i="2" s="1"/>
  <c r="BP55" i="2" s="1"/>
  <c r="BA55" i="2"/>
  <c r="BB55" i="2" s="1"/>
  <c r="BC55" i="2" s="1"/>
  <c r="BD55" i="2" s="1"/>
  <c r="BG55" i="2"/>
  <c r="BH55" i="2" s="1"/>
  <c r="BI55" i="2" s="1"/>
  <c r="BJ55" i="2"/>
  <c r="BK55" i="2" s="1"/>
  <c r="AZ56" i="2"/>
  <c r="BA56" i="2" s="1"/>
  <c r="BF56" i="2"/>
  <c r="BG56" i="2" s="1"/>
  <c r="BH56" i="2" s="1"/>
  <c r="BI56" i="2" s="1"/>
  <c r="BJ56" i="2" s="1"/>
  <c r="BO56" i="2"/>
  <c r="BP56" i="2" s="1"/>
  <c r="BQ56" i="2" s="1"/>
  <c r="BQ47" i="2"/>
  <c r="BP47" i="2"/>
  <c r="BP49" i="2" s="1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B49" i="2" s="1"/>
  <c r="BA47" i="2"/>
  <c r="AZ47" i="2"/>
  <c r="AY47" i="2"/>
  <c r="AX47" i="2"/>
  <c r="AW47" i="2"/>
  <c r="AV47" i="2"/>
  <c r="AV49" i="2" s="1"/>
  <c r="AU47" i="2"/>
  <c r="AT47" i="2"/>
  <c r="U153" i="2"/>
  <c r="V153" i="2" s="1"/>
  <c r="W153" i="2" s="1"/>
  <c r="X153" i="2" s="1"/>
  <c r="Y153" i="2" s="1"/>
  <c r="Z153" i="2" s="1"/>
  <c r="AA153" i="2" s="1"/>
  <c r="AB153" i="2" s="1"/>
  <c r="AC153" i="2" s="1"/>
  <c r="AD153" i="2" s="1"/>
  <c r="AE153" i="2" s="1"/>
  <c r="AF153" i="2" s="1"/>
  <c r="AG153" i="2" s="1"/>
  <c r="AH153" i="2" s="1"/>
  <c r="AI153" i="2" s="1"/>
  <c r="AJ153" i="2" s="1"/>
  <c r="AK153" i="2" s="1"/>
  <c r="AL153" i="2" s="1"/>
  <c r="AM153" i="2" s="1"/>
  <c r="AN153" i="2" s="1"/>
  <c r="AO153" i="2" s="1"/>
  <c r="AP153" i="2" s="1"/>
  <c r="AQ153" i="2" s="1"/>
  <c r="AR153" i="2" s="1"/>
  <c r="T145" i="2"/>
  <c r="T144" i="2"/>
  <c r="AP151" i="2" s="1"/>
  <c r="AC34" i="2"/>
  <c r="T143" i="2"/>
  <c r="AC33" i="2"/>
  <c r="T142" i="2"/>
  <c r="AR149" i="2" s="1"/>
  <c r="T141" i="2"/>
  <c r="AQ148" i="2" s="1"/>
  <c r="T140" i="2"/>
  <c r="AP147" i="2" s="1"/>
  <c r="AK20" i="2"/>
  <c r="AD15" i="2"/>
  <c r="AC15" i="2"/>
  <c r="AA15" i="2"/>
  <c r="AH25" i="2"/>
  <c r="AH31" i="2"/>
  <c r="AH22" i="2"/>
  <c r="AH21" i="2"/>
  <c r="AH24" i="2"/>
  <c r="AH29" i="2"/>
  <c r="AH23" i="2"/>
  <c r="BN49" i="2" l="1"/>
  <c r="BO49" i="2" s="1"/>
  <c r="BQ49" i="2"/>
  <c r="T148" i="2"/>
  <c r="AG148" i="2"/>
  <c r="W151" i="2"/>
  <c r="AF151" i="2"/>
  <c r="BA48" i="2"/>
  <c r="X148" i="2"/>
  <c r="AL148" i="2"/>
  <c r="X151" i="2"/>
  <c r="AJ151" i="2"/>
  <c r="AX49" i="2"/>
  <c r="AY49" i="2" s="1"/>
  <c r="AC148" i="2"/>
  <c r="AP148" i="2"/>
  <c r="AC151" i="2"/>
  <c r="AL151" i="2"/>
  <c r="W147" i="2"/>
  <c r="AF147" i="2"/>
  <c r="AD148" i="2"/>
  <c r="AB147" i="2"/>
  <c r="AK147" i="2"/>
  <c r="AO147" i="2"/>
  <c r="T147" i="2"/>
  <c r="Y147" i="2"/>
  <c r="AC147" i="2"/>
  <c r="AH147" i="2"/>
  <c r="AL147" i="2"/>
  <c r="AQ147" i="2"/>
  <c r="U148" i="2"/>
  <c r="Z148" i="2"/>
  <c r="AI148" i="2"/>
  <c r="AM148" i="2"/>
  <c r="AR148" i="2"/>
  <c r="V147" i="2"/>
  <c r="Z147" i="2"/>
  <c r="AE147" i="2"/>
  <c r="AI147" i="2"/>
  <c r="AN147" i="2"/>
  <c r="AR147" i="2"/>
  <c r="W148" i="2"/>
  <c r="AA148" i="2"/>
  <c r="AF148" i="2"/>
  <c r="AJ148" i="2"/>
  <c r="AO148" i="2"/>
  <c r="T151" i="2"/>
  <c r="AA151" i="2"/>
  <c r="AG151" i="2"/>
  <c r="AO151" i="2"/>
  <c r="BB48" i="2"/>
  <c r="AJ24" i="2"/>
  <c r="AJ23" i="2"/>
  <c r="AJ22" i="2"/>
  <c r="AJ25" i="2"/>
  <c r="AP150" i="2"/>
  <c r="AM150" i="2"/>
  <c r="AR152" i="2"/>
  <c r="AO152" i="2"/>
  <c r="AL152" i="2"/>
  <c r="AI152" i="2"/>
  <c r="AF152" i="2"/>
  <c r="AC152" i="2"/>
  <c r="Z152" i="2"/>
  <c r="W152" i="2"/>
  <c r="T152" i="2"/>
  <c r="U149" i="2"/>
  <c r="X149" i="2"/>
  <c r="AA149" i="2"/>
  <c r="AD149" i="2"/>
  <c r="AG149" i="2"/>
  <c r="AJ149" i="2"/>
  <c r="AM149" i="2"/>
  <c r="AP149" i="2"/>
  <c r="V150" i="2"/>
  <c r="Y150" i="2"/>
  <c r="AB150" i="2"/>
  <c r="AE150" i="2"/>
  <c r="AH150" i="2"/>
  <c r="AK150" i="2"/>
  <c r="AO150" i="2"/>
  <c r="V152" i="2"/>
  <c r="AA152" i="2"/>
  <c r="AE152" i="2"/>
  <c r="AJ152" i="2"/>
  <c r="AN152" i="2"/>
  <c r="AW48" i="2"/>
  <c r="AX48" i="2" s="1"/>
  <c r="AY48" i="2" s="1"/>
  <c r="AZ48" i="2" s="1"/>
  <c r="AW49" i="2"/>
  <c r="AZ49" i="2"/>
  <c r="BA49" i="2" s="1"/>
  <c r="BC48" i="2"/>
  <c r="BD48" i="2" s="1"/>
  <c r="BE48" i="2" s="1"/>
  <c r="BF48" i="2" s="1"/>
  <c r="BG48" i="2" s="1"/>
  <c r="BH48" i="2" s="1"/>
  <c r="BI48" i="2" s="1"/>
  <c r="BJ48" i="2" s="1"/>
  <c r="BK48" i="2" s="1"/>
  <c r="BL48" i="2" s="1"/>
  <c r="BM48" i="2" s="1"/>
  <c r="BN48" i="2" s="1"/>
  <c r="BO48" i="2" s="1"/>
  <c r="BP48" i="2" s="1"/>
  <c r="BC49" i="2"/>
  <c r="BD49" i="2" s="1"/>
  <c r="BE49" i="2" s="1"/>
  <c r="BF49" i="2"/>
  <c r="BG49" i="2" s="1"/>
  <c r="BH49" i="2" s="1"/>
  <c r="BI49" i="2"/>
  <c r="BJ49" i="2" s="1"/>
  <c r="BK49" i="2" s="1"/>
  <c r="BL49" i="2"/>
  <c r="BM49" i="2" s="1"/>
  <c r="V149" i="2"/>
  <c r="Y149" i="2"/>
  <c r="AB149" i="2"/>
  <c r="AE149" i="2"/>
  <c r="AH149" i="2"/>
  <c r="AK149" i="2"/>
  <c r="AN149" i="2"/>
  <c r="AQ149" i="2"/>
  <c r="T150" i="2"/>
  <c r="W150" i="2"/>
  <c r="Z150" i="2"/>
  <c r="AC150" i="2"/>
  <c r="AF150" i="2"/>
  <c r="AI150" i="2"/>
  <c r="AL150" i="2"/>
  <c r="AQ150" i="2"/>
  <c r="X152" i="2"/>
  <c r="AB152" i="2"/>
  <c r="AG152" i="2"/>
  <c r="AK152" i="2"/>
  <c r="AP152" i="2"/>
  <c r="AQ151" i="2"/>
  <c r="AN151" i="2"/>
  <c r="AK151" i="2"/>
  <c r="AH151" i="2"/>
  <c r="AE151" i="2"/>
  <c r="AB151" i="2"/>
  <c r="Y151" i="2"/>
  <c r="V151" i="2"/>
  <c r="U147" i="2"/>
  <c r="X147" i="2"/>
  <c r="AA147" i="2"/>
  <c r="AD147" i="2"/>
  <c r="AG147" i="2"/>
  <c r="AJ147" i="2"/>
  <c r="AM147" i="2"/>
  <c r="V148" i="2"/>
  <c r="Y148" i="2"/>
  <c r="AB148" i="2"/>
  <c r="AE148" i="2"/>
  <c r="AH148" i="2"/>
  <c r="AK148" i="2"/>
  <c r="AN148" i="2"/>
  <c r="T149" i="2"/>
  <c r="W149" i="2"/>
  <c r="Z149" i="2"/>
  <c r="AC149" i="2"/>
  <c r="AF149" i="2"/>
  <c r="AI149" i="2"/>
  <c r="AL149" i="2"/>
  <c r="AO149" i="2"/>
  <c r="U150" i="2"/>
  <c r="X150" i="2"/>
  <c r="AA150" i="2"/>
  <c r="AD150" i="2"/>
  <c r="AG150" i="2"/>
  <c r="AJ150" i="2"/>
  <c r="AN150" i="2"/>
  <c r="AR150" i="2"/>
  <c r="U151" i="2"/>
  <c r="Z151" i="2"/>
  <c r="AD151" i="2"/>
  <c r="AI151" i="2"/>
  <c r="AM151" i="2"/>
  <c r="AR151" i="2"/>
  <c r="U152" i="2"/>
  <c r="Y152" i="2"/>
  <c r="AD152" i="2"/>
  <c r="AH152" i="2"/>
  <c r="AM152" i="2"/>
  <c r="AQ152" i="2"/>
  <c r="BQ48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M37" i="1"/>
  <c r="P2" i="1"/>
  <c r="X2" i="1"/>
  <c r="Z2" i="1"/>
  <c r="M3" i="1"/>
  <c r="AA3" i="1"/>
  <c r="AA4" i="1"/>
  <c r="AA5" i="1"/>
  <c r="AA6" i="1"/>
  <c r="P7" i="1"/>
  <c r="AA7" i="1"/>
  <c r="Y8" i="1"/>
  <c r="Y9" i="1"/>
  <c r="C11" i="1"/>
  <c r="AA11" i="1"/>
  <c r="C21" i="1"/>
  <c r="AA21" i="1"/>
  <c r="A37" i="1"/>
  <c r="A38" i="1"/>
  <c r="AH2" i="1"/>
  <c r="AP3" i="1" s="1"/>
  <c r="AH26" i="2"/>
  <c r="AH28" i="2"/>
  <c r="AH27" i="2"/>
  <c r="AH30" i="2"/>
  <c r="L2" i="1" l="1"/>
  <c r="AE34" i="2" s="1"/>
  <c r="B34" i="1"/>
  <c r="AJ30" i="2"/>
  <c r="AJ31" i="2"/>
  <c r="AJ27" i="2"/>
  <c r="AJ28" i="2"/>
  <c r="AJ29" i="2"/>
  <c r="AJ26" i="2"/>
  <c r="AA37" i="1"/>
  <c r="X37" i="1"/>
  <c r="U37" i="1"/>
  <c r="F37" i="1"/>
  <c r="Q37" i="1"/>
  <c r="E37" i="1"/>
  <c r="B23" i="2" s="1"/>
  <c r="Y37" i="1"/>
  <c r="D37" i="1"/>
  <c r="V37" i="1"/>
  <c r="V38" i="1"/>
  <c r="AH15" i="2"/>
  <c r="AE15" i="2"/>
  <c r="AB15" i="2"/>
  <c r="Y15" i="2"/>
  <c r="AG15" i="2"/>
  <c r="X15" i="2"/>
  <c r="AF15" i="2"/>
  <c r="Z15" i="2"/>
  <c r="AP5" i="1" s="1"/>
  <c r="Y4" i="1" s="1"/>
  <c r="W15" i="2"/>
  <c r="B5" i="2"/>
  <c r="B13" i="2"/>
  <c r="AX3" i="1"/>
  <c r="B35" i="1"/>
  <c r="Q2" i="1"/>
  <c r="B49" i="2"/>
  <c r="B45" i="2"/>
  <c r="AX2" i="1"/>
  <c r="B36" i="1"/>
  <c r="AX4" i="1"/>
  <c r="AP9" i="1"/>
  <c r="N37" i="1"/>
  <c r="B33" i="1"/>
  <c r="B32" i="1"/>
  <c r="R37" i="1"/>
  <c r="R38" i="1"/>
  <c r="I37" i="1"/>
  <c r="I38" i="1"/>
  <c r="K37" i="1"/>
  <c r="T37" i="1"/>
  <c r="T38" i="1"/>
  <c r="O37" i="1"/>
  <c r="J37" i="1"/>
  <c r="H37" i="1"/>
  <c r="P37" i="1"/>
  <c r="P38" i="1"/>
  <c r="G37" i="1"/>
  <c r="Z37" i="1"/>
  <c r="Z38" i="1"/>
  <c r="W38" i="1"/>
  <c r="W37" i="1"/>
  <c r="U38" i="1"/>
  <c r="AP4" i="1"/>
  <c r="AP2" i="1"/>
  <c r="Q38" i="1"/>
  <c r="AA38" i="1"/>
  <c r="S37" i="1"/>
  <c r="L37" i="1"/>
  <c r="L38" i="1"/>
  <c r="B43" i="2"/>
  <c r="AH6" i="1"/>
  <c r="AH7" i="1"/>
  <c r="Y7" i="1" l="1"/>
  <c r="AH3" i="1"/>
  <c r="E38" i="1"/>
  <c r="V90" i="2" s="1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AZ37" i="2"/>
  <c r="AW37" i="2"/>
  <c r="AT37" i="2"/>
  <c r="AQ37" i="2"/>
  <c r="AN37" i="2"/>
  <c r="AK37" i="2"/>
  <c r="AH37" i="2"/>
  <c r="AE37" i="2"/>
  <c r="AB37" i="2"/>
  <c r="Y37" i="2"/>
  <c r="V37" i="2"/>
  <c r="CR37" i="2"/>
  <c r="CO37" i="2"/>
  <c r="CL37" i="2"/>
  <c r="CI37" i="2"/>
  <c r="CF37" i="2"/>
  <c r="CC37" i="2"/>
  <c r="BZ37" i="2"/>
  <c r="BW37" i="2"/>
  <c r="BT37" i="2"/>
  <c r="BQ37" i="2"/>
  <c r="BN37" i="2"/>
  <c r="BK37" i="2"/>
  <c r="BH37" i="2"/>
  <c r="BE37" i="2"/>
  <c r="BB37" i="2"/>
  <c r="AY37" i="2"/>
  <c r="AV37" i="2"/>
  <c r="AS37" i="2"/>
  <c r="AP37" i="2"/>
  <c r="AM37" i="2"/>
  <c r="AJ37" i="2"/>
  <c r="AG37" i="2"/>
  <c r="AD37" i="2"/>
  <c r="AA37" i="2"/>
  <c r="X37" i="2"/>
  <c r="U37" i="2"/>
  <c r="CT37" i="2"/>
  <c r="CQ37" i="2"/>
  <c r="CN37" i="2"/>
  <c r="CK37" i="2"/>
  <c r="CH37" i="2"/>
  <c r="CE37" i="2"/>
  <c r="CB37" i="2"/>
  <c r="BY37" i="2"/>
  <c r="BV37" i="2"/>
  <c r="BS37" i="2"/>
  <c r="BP37" i="2"/>
  <c r="BM37" i="2"/>
  <c r="BJ37" i="2"/>
  <c r="BG37" i="2"/>
  <c r="BD37" i="2"/>
  <c r="BA37" i="2"/>
  <c r="AX37" i="2"/>
  <c r="AU37" i="2"/>
  <c r="AR37" i="2"/>
  <c r="AO37" i="2"/>
  <c r="AL37" i="2"/>
  <c r="AI37" i="2"/>
  <c r="AF37" i="2"/>
  <c r="AC37" i="2"/>
  <c r="Z37" i="2"/>
  <c r="W37" i="2"/>
  <c r="T37" i="2"/>
  <c r="CR38" i="2"/>
  <c r="CO38" i="2"/>
  <c r="CL38" i="2"/>
  <c r="CI38" i="2"/>
  <c r="CF38" i="2"/>
  <c r="CC38" i="2"/>
  <c r="BZ38" i="2"/>
  <c r="BW38" i="2"/>
  <c r="BT38" i="2"/>
  <c r="BQ38" i="2"/>
  <c r="BN38" i="2"/>
  <c r="BK38" i="2"/>
  <c r="BH38" i="2"/>
  <c r="BE38" i="2"/>
  <c r="BB38" i="2"/>
  <c r="AY38" i="2"/>
  <c r="AV38" i="2"/>
  <c r="AS38" i="2"/>
  <c r="AP38" i="2"/>
  <c r="AM38" i="2"/>
  <c r="AJ38" i="2"/>
  <c r="AG38" i="2"/>
  <c r="AD38" i="2"/>
  <c r="AA38" i="2"/>
  <c r="X38" i="2"/>
  <c r="U38" i="2"/>
  <c r="CT38" i="2"/>
  <c r="CQ38" i="2"/>
  <c r="CN38" i="2"/>
  <c r="CK38" i="2"/>
  <c r="CH38" i="2"/>
  <c r="CE38" i="2"/>
  <c r="CB38" i="2"/>
  <c r="BY38" i="2"/>
  <c r="BV38" i="2"/>
  <c r="BS38" i="2"/>
  <c r="BP38" i="2"/>
  <c r="BM38" i="2"/>
  <c r="BJ38" i="2"/>
  <c r="BG38" i="2"/>
  <c r="BD38" i="2"/>
  <c r="BA38" i="2"/>
  <c r="AX38" i="2"/>
  <c r="AU38" i="2"/>
  <c r="AR38" i="2"/>
  <c r="AO38" i="2"/>
  <c r="AL38" i="2"/>
  <c r="AI38" i="2"/>
  <c r="AF38" i="2"/>
  <c r="AC38" i="2"/>
  <c r="Z38" i="2"/>
  <c r="W38" i="2"/>
  <c r="T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AZ38" i="2"/>
  <c r="AW38" i="2"/>
  <c r="AT38" i="2"/>
  <c r="AQ38" i="2"/>
  <c r="AN38" i="2"/>
  <c r="AK38" i="2"/>
  <c r="AH38" i="2"/>
  <c r="AE38" i="2"/>
  <c r="AB38" i="2"/>
  <c r="Y38" i="2"/>
  <c r="V38" i="2"/>
  <c r="AJ32" i="2"/>
  <c r="F38" i="1"/>
  <c r="W90" i="2" s="1"/>
  <c r="AM90" i="2"/>
  <c r="B19" i="2"/>
  <c r="B3" i="2"/>
  <c r="B6" i="2"/>
  <c r="B18" i="2"/>
  <c r="V47" i="2"/>
  <c r="B26" i="2"/>
  <c r="AP47" i="2"/>
  <c r="AP48" i="2" s="1"/>
  <c r="B4" i="2"/>
  <c r="W47" i="2"/>
  <c r="B24" i="2"/>
  <c r="B14" i="2"/>
  <c r="AS47" i="2"/>
  <c r="AQ47" i="2"/>
  <c r="Y38" i="1"/>
  <c r="AP90" i="2" s="1"/>
  <c r="AI47" i="2"/>
  <c r="AK47" i="2"/>
  <c r="AK49" i="2" s="1"/>
  <c r="AM47" i="2"/>
  <c r="AH5" i="1"/>
  <c r="AF34" i="2"/>
  <c r="AH34" i="2" s="1"/>
  <c r="AJ34" i="2" s="1"/>
  <c r="M38" i="1"/>
  <c r="AC47" i="2"/>
  <c r="AH90" i="2"/>
  <c r="AH54" i="2"/>
  <c r="AL90" i="2"/>
  <c r="AL54" i="2"/>
  <c r="AN90" i="2"/>
  <c r="AN54" i="2"/>
  <c r="B27" i="2"/>
  <c r="AG47" i="2"/>
  <c r="J38" i="1"/>
  <c r="AA47" i="2"/>
  <c r="AM54" i="2"/>
  <c r="S38" i="1"/>
  <c r="AJ47" i="2"/>
  <c r="AQ90" i="2"/>
  <c r="B2" i="2"/>
  <c r="X47" i="2"/>
  <c r="Y47" i="2"/>
  <c r="B25" i="2"/>
  <c r="AF47" i="2"/>
  <c r="B15" i="2"/>
  <c r="AB47" i="2"/>
  <c r="AI90" i="2"/>
  <c r="AI54" i="2"/>
  <c r="AH47" i="2"/>
  <c r="AL47" i="2"/>
  <c r="AG90" i="2"/>
  <c r="Z90" i="2"/>
  <c r="N38" i="1"/>
  <c r="AE47" i="2"/>
  <c r="AD47" i="2"/>
  <c r="AC90" i="2"/>
  <c r="AR90" i="2"/>
  <c r="AS54" i="2"/>
  <c r="AR54" i="2"/>
  <c r="X38" i="1"/>
  <c r="AN47" i="2"/>
  <c r="AK90" i="2"/>
  <c r="B9" i="2"/>
  <c r="Z47" i="2"/>
  <c r="AO47" i="2"/>
  <c r="AR47" i="2"/>
  <c r="O3" i="1"/>
  <c r="AH4" i="1" s="1"/>
  <c r="B31" i="2"/>
  <c r="B44" i="2"/>
  <c r="B42" i="2"/>
  <c r="B40" i="2"/>
  <c r="B34" i="2"/>
  <c r="B36" i="2"/>
  <c r="B32" i="2"/>
  <c r="O38" i="1"/>
  <c r="K38" i="1"/>
  <c r="G38" i="1"/>
  <c r="H38" i="1"/>
  <c r="B28" i="2"/>
  <c r="B29" i="2"/>
  <c r="B8" i="2"/>
  <c r="B21" i="2"/>
  <c r="B37" i="2"/>
  <c r="B48" i="2"/>
  <c r="B38" i="2"/>
  <c r="B41" i="2"/>
  <c r="B11" i="2"/>
  <c r="B12" i="2"/>
  <c r="B50" i="2"/>
  <c r="B51" i="2"/>
  <c r="B33" i="2"/>
  <c r="B39" i="2"/>
  <c r="B10" i="2"/>
  <c r="B30" i="2"/>
  <c r="B17" i="2"/>
  <c r="B7" i="2"/>
  <c r="B16" i="2"/>
  <c r="B35" i="2"/>
  <c r="B46" i="2"/>
  <c r="B20" i="2"/>
  <c r="B47" i="2"/>
  <c r="AQ48" i="2" l="1"/>
  <c r="AQ54" i="2"/>
  <c r="W54" i="2"/>
  <c r="AP54" i="2"/>
  <c r="AK54" i="2"/>
  <c r="AC54" i="2"/>
  <c r="Y90" i="2"/>
  <c r="X90" i="2"/>
  <c r="AG34" i="2"/>
  <c r="AJ33" i="2" s="1"/>
  <c r="AG21" i="2" s="1"/>
  <c r="AF22" i="2" s="1"/>
  <c r="Y54" i="2"/>
  <c r="AR49" i="2"/>
  <c r="AS49" i="2" s="1"/>
  <c r="AT49" i="2" s="1"/>
  <c r="AU49" i="2" s="1"/>
  <c r="AR48" i="2"/>
  <c r="AS48" i="2" s="1"/>
  <c r="AT48" i="2" s="1"/>
  <c r="AU48" i="2" s="1"/>
  <c r="AV48" i="2" s="1"/>
  <c r="AA90" i="2"/>
  <c r="AA54" i="2"/>
  <c r="AF90" i="2"/>
  <c r="AF54" i="2"/>
  <c r="X54" i="2"/>
  <c r="AD90" i="2"/>
  <c r="AD54" i="2"/>
  <c r="AO90" i="2"/>
  <c r="AO54" i="2"/>
  <c r="AO49" i="2"/>
  <c r="AP49" i="2" s="1"/>
  <c r="AQ49" i="2" s="1"/>
  <c r="AE90" i="2"/>
  <c r="AE54" i="2"/>
  <c r="AG54" i="2"/>
  <c r="AL49" i="2"/>
  <c r="AM49" i="2" s="1"/>
  <c r="AL48" i="2"/>
  <c r="AM48" i="2" s="1"/>
  <c r="AN48" i="2" s="1"/>
  <c r="AO48" i="2" s="1"/>
  <c r="AJ90" i="2"/>
  <c r="AJ54" i="2"/>
  <c r="AB90" i="2"/>
  <c r="AB54" i="2"/>
  <c r="AN49" i="2"/>
  <c r="AS55" i="2"/>
  <c r="AT55" i="2" s="1"/>
  <c r="AU55" i="2" s="1"/>
  <c r="Z54" i="2"/>
  <c r="Y49" i="2"/>
  <c r="Z49" i="2" s="1"/>
  <c r="AQ56" i="2"/>
  <c r="AR56" i="2" s="1"/>
  <c r="AS56" i="2" s="1"/>
  <c r="AT56" i="2" s="1"/>
  <c r="AA49" i="2"/>
  <c r="AB49" i="2" s="1"/>
  <c r="AC49" i="2" s="1"/>
  <c r="AD49" i="2" s="1"/>
  <c r="AE49" i="2" s="1"/>
  <c r="AF49" i="2" s="1"/>
  <c r="AG49" i="2" s="1"/>
  <c r="AH49" i="2" s="1"/>
  <c r="AI49" i="2" s="1"/>
  <c r="AJ49" i="2" s="1"/>
  <c r="AJ35" i="2" l="1"/>
  <c r="AJ36" i="2" s="1"/>
  <c r="AF21" i="2" s="1"/>
  <c r="AE21" i="2" s="1"/>
  <c r="Z55" i="2"/>
  <c r="AO55" i="2"/>
  <c r="AP55" i="2" s="1"/>
  <c r="AQ55" i="2" s="1"/>
  <c r="AR55" i="2" s="1"/>
  <c r="AA55" i="2"/>
  <c r="AB55" i="2" s="1"/>
  <c r="AC55" i="2" s="1"/>
  <c r="AJ56" i="2"/>
  <c r="AK56" i="2" s="1"/>
  <c r="AL56" i="2" s="1"/>
  <c r="AM56" i="2" s="1"/>
  <c r="AN56" i="2" s="1"/>
  <c r="AO56" i="2" s="1"/>
  <c r="AP56" i="2" s="1"/>
  <c r="AD55" i="2"/>
  <c r="AE55" i="2" s="1"/>
  <c r="AF55" i="2" s="1"/>
  <c r="AG55" i="2" s="1"/>
  <c r="AH55" i="2" s="1"/>
  <c r="AI55" i="2" s="1"/>
  <c r="AJ55" i="2" s="1"/>
  <c r="AK55" i="2" s="1"/>
  <c r="AL55" i="2" s="1"/>
  <c r="AM55" i="2" s="1"/>
  <c r="AN55" i="2" s="1"/>
  <c r="AG22" i="2" l="1"/>
  <c r="AF23" i="2" s="1"/>
  <c r="AG23" i="2" s="1"/>
  <c r="AF24" i="2" s="1"/>
  <c r="AE22" i="2" l="1"/>
  <c r="AG24" i="2"/>
  <c r="AF25" i="2" s="1"/>
  <c r="AE23" i="2"/>
  <c r="AE24" i="2" l="1"/>
  <c r="AG25" i="2"/>
  <c r="AF26" i="2" s="1"/>
  <c r="AE25" i="2" l="1"/>
  <c r="AG26" i="2"/>
  <c r="AF27" i="2" s="1"/>
  <c r="U117" i="2"/>
  <c r="AE26" i="2" l="1"/>
  <c r="AG27" i="2"/>
  <c r="AF28" i="2" s="1"/>
  <c r="Z117" i="2"/>
  <c r="AE27" i="2" l="1"/>
  <c r="AG28" i="2"/>
  <c r="AF29" i="2" s="1"/>
  <c r="AE28" i="2" l="1"/>
  <c r="AG29" i="2"/>
  <c r="AF30" i="2" s="1"/>
  <c r="AE29" i="2" l="1"/>
  <c r="AG30" i="2"/>
  <c r="AF31" i="2" s="1"/>
  <c r="AE30" i="2" l="1"/>
  <c r="AG31" i="2"/>
  <c r="AE31" i="2" s="1"/>
  <c r="C38" i="1" l="1"/>
  <c r="C37" i="1"/>
  <c r="T65" i="2"/>
  <c r="T64" i="2"/>
  <c r="G2" i="2" l="1"/>
  <c r="D38" i="1"/>
  <c r="U35" i="2" s="1"/>
  <c r="X7" i="1"/>
  <c r="D182" i="2"/>
  <c r="D181" i="2"/>
  <c r="T8" i="2"/>
  <c r="H2" i="2"/>
  <c r="F20" i="2" s="1"/>
  <c r="R131" i="2"/>
  <c r="B22" i="2"/>
  <c r="D184" i="2"/>
  <c r="G181" i="2"/>
  <c r="AH8" i="1"/>
  <c r="U33" i="2"/>
  <c r="U47" i="2"/>
  <c r="D183" i="2"/>
  <c r="T90" i="2"/>
  <c r="T66" i="2"/>
  <c r="AH9" i="1" l="1"/>
  <c r="AP7" i="1" s="1"/>
  <c r="Y6" i="1" s="1"/>
  <c r="U54" i="2"/>
  <c r="U90" i="2"/>
  <c r="V54" i="2"/>
  <c r="V55" i="2" s="1"/>
  <c r="W55" i="2" s="1"/>
  <c r="X55" i="2" s="1"/>
  <c r="Y55" i="2" s="1"/>
  <c r="CO44" i="2"/>
  <c r="CR44" i="2"/>
  <c r="CQ44" i="2"/>
  <c r="CT44" i="2"/>
  <c r="BN44" i="2"/>
  <c r="BQ44" i="2"/>
  <c r="BT44" i="2"/>
  <c r="BW44" i="2"/>
  <c r="BZ44" i="2"/>
  <c r="CC44" i="2"/>
  <c r="CF44" i="2"/>
  <c r="CI44" i="2"/>
  <c r="CL44" i="2"/>
  <c r="AV44" i="2"/>
  <c r="AY44" i="2"/>
  <c r="BB44" i="2"/>
  <c r="CP44" i="2"/>
  <c r="BM44" i="2"/>
  <c r="BR44" i="2"/>
  <c r="BV44" i="2"/>
  <c r="CA44" i="2"/>
  <c r="CE44" i="2"/>
  <c r="CJ44" i="2"/>
  <c r="CN44" i="2"/>
  <c r="AT44" i="2"/>
  <c r="AX44" i="2"/>
  <c r="BC44" i="2"/>
  <c r="BF44" i="2"/>
  <c r="BI44" i="2"/>
  <c r="BL44" i="2"/>
  <c r="CS44" i="2"/>
  <c r="BO44" i="2"/>
  <c r="BS44" i="2"/>
  <c r="BX44" i="2"/>
  <c r="CB44" i="2"/>
  <c r="CG44" i="2"/>
  <c r="CK44" i="2"/>
  <c r="AU44" i="2"/>
  <c r="AZ44" i="2"/>
  <c r="BD44" i="2"/>
  <c r="BG44" i="2"/>
  <c r="BJ44" i="2"/>
  <c r="BP44" i="2"/>
  <c r="BU44" i="2"/>
  <c r="BY44" i="2"/>
  <c r="CD44" i="2"/>
  <c r="CH44" i="2"/>
  <c r="CM44" i="2"/>
  <c r="AW44" i="2"/>
  <c r="BA44" i="2"/>
  <c r="BE44" i="2"/>
  <c r="BH44" i="2"/>
  <c r="BK44" i="2"/>
  <c r="CO41" i="2"/>
  <c r="CR41" i="2"/>
  <c r="CP41" i="2"/>
  <c r="CS41" i="2"/>
  <c r="CQ41" i="2"/>
  <c r="CT41" i="2"/>
  <c r="BN41" i="2"/>
  <c r="BQ41" i="2"/>
  <c r="BT41" i="2"/>
  <c r="BW41" i="2"/>
  <c r="BZ41" i="2"/>
  <c r="CC41" i="2"/>
  <c r="CF41" i="2"/>
  <c r="CI41" i="2"/>
  <c r="CL41" i="2"/>
  <c r="AV41" i="2"/>
  <c r="AY41" i="2"/>
  <c r="BB41" i="2"/>
  <c r="BE41" i="2"/>
  <c r="BH41" i="2"/>
  <c r="BK41" i="2"/>
  <c r="BP41" i="2"/>
  <c r="BU41" i="2"/>
  <c r="BY41" i="2"/>
  <c r="CD41" i="2"/>
  <c r="CH41" i="2"/>
  <c r="CM41" i="2"/>
  <c r="AW41" i="2"/>
  <c r="BA41" i="2"/>
  <c r="BF41" i="2"/>
  <c r="BJ41" i="2"/>
  <c r="BM41" i="2"/>
  <c r="BR41" i="2"/>
  <c r="BV41" i="2"/>
  <c r="CA41" i="2"/>
  <c r="CE41" i="2"/>
  <c r="CJ41" i="2"/>
  <c r="CN41" i="2"/>
  <c r="AT41" i="2"/>
  <c r="AX41" i="2"/>
  <c r="BC41" i="2"/>
  <c r="BG41" i="2"/>
  <c r="BL41" i="2"/>
  <c r="BO41" i="2"/>
  <c r="BS41" i="2"/>
  <c r="BX41" i="2"/>
  <c r="CB41" i="2"/>
  <c r="CG41" i="2"/>
  <c r="CK41" i="2"/>
  <c r="AU41" i="2"/>
  <c r="AZ41" i="2"/>
  <c r="BD41" i="2"/>
  <c r="BI41" i="2"/>
  <c r="BP73" i="2"/>
  <c r="BM73" i="2"/>
  <c r="BJ73" i="2"/>
  <c r="BG73" i="2"/>
  <c r="BD73" i="2"/>
  <c r="BP72" i="2"/>
  <c r="BM72" i="2"/>
  <c r="BJ72" i="2"/>
  <c r="BG72" i="2"/>
  <c r="BD72" i="2"/>
  <c r="BO73" i="2"/>
  <c r="BL73" i="2"/>
  <c r="BI73" i="2"/>
  <c r="BF73" i="2"/>
  <c r="BC73" i="2"/>
  <c r="BO72" i="2"/>
  <c r="BL72" i="2"/>
  <c r="BI72" i="2"/>
  <c r="BF72" i="2"/>
  <c r="BC72" i="2"/>
  <c r="BN73" i="2"/>
  <c r="BK73" i="2"/>
  <c r="BH73" i="2"/>
  <c r="BE73" i="2"/>
  <c r="BN72" i="2"/>
  <c r="BN77" i="2" s="1"/>
  <c r="BK72" i="2"/>
  <c r="BH72" i="2"/>
  <c r="BE72" i="2"/>
  <c r="BH71" i="2"/>
  <c r="BH70" i="2"/>
  <c r="BP70" i="2"/>
  <c r="BG70" i="2"/>
  <c r="BP71" i="2"/>
  <c r="BM71" i="2"/>
  <c r="BJ71" i="2"/>
  <c r="BG71" i="2"/>
  <c r="BD71" i="2"/>
  <c r="BJ70" i="2"/>
  <c r="BO71" i="2"/>
  <c r="BL71" i="2"/>
  <c r="BI71" i="2"/>
  <c r="BI76" i="2" s="1"/>
  <c r="BF71" i="2"/>
  <c r="BC71" i="2"/>
  <c r="BO70" i="2"/>
  <c r="BL70" i="2"/>
  <c r="BI70" i="2"/>
  <c r="BF70" i="2"/>
  <c r="BC70" i="2"/>
  <c r="BN71" i="2"/>
  <c r="BK71" i="2"/>
  <c r="BE71" i="2"/>
  <c r="BN70" i="2"/>
  <c r="BK70" i="2"/>
  <c r="BE70" i="2"/>
  <c r="BM70" i="2"/>
  <c r="BD70" i="2"/>
  <c r="T70" i="2"/>
  <c r="T75" i="2" s="1"/>
  <c r="AS41" i="2"/>
  <c r="T73" i="2"/>
  <c r="T78" i="2" s="1"/>
  <c r="AS44" i="2"/>
  <c r="U48" i="2"/>
  <c r="V48" i="2" s="1"/>
  <c r="W48" i="2" s="1"/>
  <c r="X48" i="2" s="1"/>
  <c r="Y48" i="2" s="1"/>
  <c r="Z48" i="2" s="1"/>
  <c r="AA48" i="2" s="1"/>
  <c r="AB48" i="2" s="1"/>
  <c r="AC48" i="2" s="1"/>
  <c r="AD48" i="2" s="1"/>
  <c r="AE48" i="2" s="1"/>
  <c r="AF48" i="2" s="1"/>
  <c r="AG48" i="2" s="1"/>
  <c r="AH48" i="2" s="1"/>
  <c r="AI48" i="2" s="1"/>
  <c r="AJ48" i="2" s="1"/>
  <c r="AK48" i="2" s="1"/>
  <c r="U49" i="2"/>
  <c r="V49" i="2" s="1"/>
  <c r="W49" i="2" s="1"/>
  <c r="X49" i="2" s="1"/>
  <c r="E11" i="1"/>
  <c r="V71" i="2"/>
  <c r="AR70" i="2"/>
  <c r="AW71" i="2"/>
  <c r="AA70" i="2"/>
  <c r="Y71" i="2"/>
  <c r="U70" i="2"/>
  <c r="AJ70" i="2"/>
  <c r="V70" i="2"/>
  <c r="AB71" i="2"/>
  <c r="AN70" i="2"/>
  <c r="AV71" i="2"/>
  <c r="AI71" i="2"/>
  <c r="AL70" i="2"/>
  <c r="AR71" i="2"/>
  <c r="AE70" i="2"/>
  <c r="X70" i="2"/>
  <c r="AE71" i="2"/>
  <c r="Z70" i="2"/>
  <c r="AN71" i="2"/>
  <c r="AK71" i="2"/>
  <c r="X71" i="2"/>
  <c r="AC70" i="2"/>
  <c r="AU70" i="2"/>
  <c r="AW70" i="2"/>
  <c r="Z71" i="2"/>
  <c r="AH70" i="2"/>
  <c r="AO71" i="2"/>
  <c r="AS71" i="2"/>
  <c r="AB41" i="2"/>
  <c r="AV70" i="2"/>
  <c r="AF71" i="2"/>
  <c r="AY71" i="2"/>
  <c r="AY70" i="2"/>
  <c r="AJ71" i="2"/>
  <c r="AF70" i="2"/>
  <c r="AP70" i="2"/>
  <c r="AT70" i="2"/>
  <c r="X34" i="2"/>
  <c r="AR41" i="2"/>
  <c r="BB71" i="2"/>
  <c r="AP71" i="2"/>
  <c r="Y70" i="2"/>
  <c r="BA70" i="2"/>
  <c r="W41" i="2"/>
  <c r="AF41" i="2"/>
  <c r="AL41" i="2"/>
  <c r="AI41" i="2"/>
  <c r="AG70" i="2"/>
  <c r="AL71" i="2"/>
  <c r="AZ70" i="2"/>
  <c r="U71" i="2"/>
  <c r="X41" i="2"/>
  <c r="AM70" i="2"/>
  <c r="X33" i="2"/>
  <c r="AO41" i="2"/>
  <c r="AM41" i="2"/>
  <c r="AK41" i="2"/>
  <c r="AP41" i="2"/>
  <c r="AU71" i="2"/>
  <c r="AC71" i="2"/>
  <c r="Y41" i="2"/>
  <c r="AQ71" i="2"/>
  <c r="AD71" i="2"/>
  <c r="V41" i="2"/>
  <c r="AH71" i="2"/>
  <c r="AG71" i="2"/>
  <c r="U41" i="2"/>
  <c r="AQ41" i="2"/>
  <c r="W71" i="2"/>
  <c r="AA71" i="2"/>
  <c r="BB70" i="2"/>
  <c r="Z41" i="2"/>
  <c r="AZ71" i="2"/>
  <c r="AK70" i="2"/>
  <c r="AQ70" i="2"/>
  <c r="AA41" i="2"/>
  <c r="AH41" i="2"/>
  <c r="AE41" i="2"/>
  <c r="W70" i="2"/>
  <c r="AD70" i="2"/>
  <c r="AT71" i="2"/>
  <c r="AM71" i="2"/>
  <c r="AX71" i="2"/>
  <c r="AD41" i="2"/>
  <c r="AJ41" i="2"/>
  <c r="AS70" i="2"/>
  <c r="AB70" i="2"/>
  <c r="BA71" i="2"/>
  <c r="AI70" i="2"/>
  <c r="T41" i="2"/>
  <c r="AN41" i="2"/>
  <c r="AX70" i="2"/>
  <c r="AC41" i="2"/>
  <c r="AO70" i="2"/>
  <c r="AG41" i="2"/>
  <c r="F38" i="2"/>
  <c r="C50" i="2"/>
  <c r="E50" i="2" s="1"/>
  <c r="C42" i="2"/>
  <c r="E42" i="2" s="1"/>
  <c r="C37" i="2"/>
  <c r="E37" i="2" s="1"/>
  <c r="C21" i="2"/>
  <c r="E21" i="2" s="1"/>
  <c r="C9" i="2"/>
  <c r="E9" i="2" s="1"/>
  <c r="F4" i="2"/>
  <c r="F45" i="2"/>
  <c r="F47" i="2"/>
  <c r="F11" i="2"/>
  <c r="F16" i="2"/>
  <c r="F7" i="2"/>
  <c r="C31" i="2"/>
  <c r="E31" i="2" s="1"/>
  <c r="C26" i="2"/>
  <c r="E26" i="2" s="1"/>
  <c r="C41" i="2"/>
  <c r="E41" i="2" s="1"/>
  <c r="F12" i="2"/>
  <c r="F26" i="2"/>
  <c r="F8" i="2"/>
  <c r="F30" i="2"/>
  <c r="F41" i="2"/>
  <c r="F33" i="2"/>
  <c r="C40" i="2"/>
  <c r="E40" i="2" s="1"/>
  <c r="C2" i="2"/>
  <c r="E2" i="2" s="1"/>
  <c r="C13" i="2"/>
  <c r="E13" i="2" s="1"/>
  <c r="C7" i="2"/>
  <c r="E7" i="2" s="1"/>
  <c r="C47" i="2"/>
  <c r="E47" i="2" s="1"/>
  <c r="C14" i="2"/>
  <c r="E14" i="2" s="1"/>
  <c r="F49" i="2"/>
  <c r="F37" i="2"/>
  <c r="F17" i="2"/>
  <c r="F24" i="2"/>
  <c r="F3" i="2"/>
  <c r="F32" i="2"/>
  <c r="U55" i="2"/>
  <c r="U56" i="2"/>
  <c r="C30" i="2"/>
  <c r="E30" i="2" s="1"/>
  <c r="C23" i="2"/>
  <c r="E23" i="2" s="1"/>
  <c r="C29" i="2"/>
  <c r="E29" i="2" s="1"/>
  <c r="C33" i="2"/>
  <c r="E33" i="2" s="1"/>
  <c r="C11" i="2"/>
  <c r="E11" i="2" s="1"/>
  <c r="C39" i="2"/>
  <c r="E39" i="2" s="1"/>
  <c r="F23" i="2"/>
  <c r="F6" i="2"/>
  <c r="F35" i="2"/>
  <c r="F28" i="2"/>
  <c r="F2" i="2"/>
  <c r="C17" i="2"/>
  <c r="E17" i="2" s="1"/>
  <c r="C5" i="2"/>
  <c r="E5" i="2" s="1"/>
  <c r="C48" i="2"/>
  <c r="E48" i="2" s="1"/>
  <c r="C19" i="2"/>
  <c r="E19" i="2" s="1"/>
  <c r="F21" i="2"/>
  <c r="F19" i="2"/>
  <c r="F13" i="2"/>
  <c r="F15" i="2"/>
  <c r="F43" i="2"/>
  <c r="C8" i="2"/>
  <c r="E8" i="2" s="1"/>
  <c r="C45" i="2"/>
  <c r="E45" i="2" s="1"/>
  <c r="C43" i="2"/>
  <c r="E43" i="2" s="1"/>
  <c r="C10" i="2"/>
  <c r="E10" i="2" s="1"/>
  <c r="C15" i="2"/>
  <c r="E15" i="2" s="1"/>
  <c r="C24" i="2"/>
  <c r="E24" i="2" s="1"/>
  <c r="C28" i="2"/>
  <c r="E28" i="2" s="1"/>
  <c r="F42" i="2"/>
  <c r="F36" i="2"/>
  <c r="F46" i="2"/>
  <c r="F10" i="2"/>
  <c r="F25" i="2"/>
  <c r="D185" i="2"/>
  <c r="D188" i="2" s="1"/>
  <c r="D189" i="2" s="1"/>
  <c r="AD44" i="2"/>
  <c r="AN44" i="2"/>
  <c r="X44" i="2"/>
  <c r="Z44" i="2"/>
  <c r="AG44" i="2"/>
  <c r="AK44" i="2"/>
  <c r="AB44" i="2"/>
  <c r="AQ44" i="2"/>
  <c r="AC73" i="2"/>
  <c r="AE73" i="2"/>
  <c r="AZ72" i="2"/>
  <c r="AL73" i="2"/>
  <c r="AT73" i="2"/>
  <c r="X73" i="2"/>
  <c r="AQ72" i="2"/>
  <c r="AI73" i="2"/>
  <c r="Z73" i="2"/>
  <c r="AX73" i="2"/>
  <c r="AY73" i="2"/>
  <c r="AC72" i="2"/>
  <c r="AW72" i="2"/>
  <c r="V72" i="2"/>
  <c r="AP73" i="2"/>
  <c r="AM72" i="2"/>
  <c r="Y44" i="2"/>
  <c r="U44" i="2"/>
  <c r="V44" i="2"/>
  <c r="AA44" i="2"/>
  <c r="AH44" i="2"/>
  <c r="E21" i="1"/>
  <c r="AM44" i="2"/>
  <c r="W44" i="2"/>
  <c r="AP44" i="2"/>
  <c r="AC44" i="2"/>
  <c r="AF44" i="2"/>
  <c r="AI44" i="2"/>
  <c r="AL44" i="2"/>
  <c r="AO44" i="2"/>
  <c r="AR44" i="2"/>
  <c r="T44" i="2"/>
  <c r="BA73" i="2"/>
  <c r="AS72" i="2"/>
  <c r="AL72" i="2"/>
  <c r="AG72" i="2"/>
  <c r="AX72" i="2"/>
  <c r="AX77" i="2" s="1"/>
  <c r="AJ44" i="2"/>
  <c r="AE44" i="2"/>
  <c r="X72" i="2"/>
  <c r="AP72" i="2"/>
  <c r="AH73" i="2"/>
  <c r="AN73" i="2"/>
  <c r="AD73" i="2"/>
  <c r="Z72" i="2"/>
  <c r="AR73" i="2"/>
  <c r="AU73" i="2"/>
  <c r="AJ72" i="2"/>
  <c r="AA72" i="2"/>
  <c r="AW73" i="2"/>
  <c r="AQ73" i="2"/>
  <c r="AJ73" i="2"/>
  <c r="AD72" i="2"/>
  <c r="AA73" i="2"/>
  <c r="Y73" i="2"/>
  <c r="AH72" i="2"/>
  <c r="AB73" i="2"/>
  <c r="W73" i="2"/>
  <c r="BB72" i="2"/>
  <c r="BB73" i="2"/>
  <c r="X35" i="2"/>
  <c r="X36" i="2"/>
  <c r="AT72" i="2"/>
  <c r="W72" i="2"/>
  <c r="V73" i="2"/>
  <c r="AN72" i="2"/>
  <c r="AO72" i="2"/>
  <c r="AB72" i="2"/>
  <c r="AV73" i="2"/>
  <c r="AU72" i="2"/>
  <c r="AS73" i="2"/>
  <c r="U73" i="2"/>
  <c r="AG73" i="2"/>
  <c r="AZ73" i="2"/>
  <c r="Y72" i="2"/>
  <c r="AR72" i="2"/>
  <c r="AV72" i="2"/>
  <c r="U72" i="2"/>
  <c r="AK73" i="2"/>
  <c r="AO73" i="2"/>
  <c r="AY72" i="2"/>
  <c r="AE72" i="2"/>
  <c r="AF73" i="2"/>
  <c r="BA72" i="2"/>
  <c r="BA77" i="2" s="1"/>
  <c r="AM73" i="2"/>
  <c r="AF72" i="2"/>
  <c r="AK72" i="2"/>
  <c r="AI72" i="2"/>
  <c r="T72" i="2"/>
  <c r="T77" i="2" s="1"/>
  <c r="T71" i="2"/>
  <c r="T76" i="2" s="1"/>
  <c r="AK7" i="2"/>
  <c r="R133" i="2"/>
  <c r="AK8" i="2"/>
  <c r="R130" i="2"/>
  <c r="I2" i="2"/>
  <c r="D6" i="2" s="1"/>
  <c r="C22" i="2"/>
  <c r="E22" i="2" s="1"/>
  <c r="H6" i="2"/>
  <c r="F22" i="2"/>
  <c r="H5" i="2"/>
  <c r="C38" i="2"/>
  <c r="C51" i="2"/>
  <c r="E51" i="2" s="1"/>
  <c r="C32" i="2"/>
  <c r="E32" i="2" s="1"/>
  <c r="C4" i="2"/>
  <c r="E4" i="2" s="1"/>
  <c r="C12" i="2"/>
  <c r="E12" i="2" s="1"/>
  <c r="C27" i="2"/>
  <c r="E27" i="2" s="1"/>
  <c r="C16" i="2"/>
  <c r="E16" i="2" s="1"/>
  <c r="F5" i="2"/>
  <c r="F9" i="2"/>
  <c r="F18" i="2"/>
  <c r="F50" i="2"/>
  <c r="F40" i="2"/>
  <c r="C49" i="2"/>
  <c r="E49" i="2" s="1"/>
  <c r="C35" i="2"/>
  <c r="E35" i="2" s="1"/>
  <c r="C44" i="2"/>
  <c r="E44" i="2" s="1"/>
  <c r="C3" i="2"/>
  <c r="E3" i="2" s="1"/>
  <c r="F31" i="2"/>
  <c r="F39" i="2"/>
  <c r="F51" i="2"/>
  <c r="F44" i="2"/>
  <c r="F29" i="2"/>
  <c r="C36" i="2"/>
  <c r="E36" i="2" s="1"/>
  <c r="C25" i="2"/>
  <c r="E25" i="2" s="1"/>
  <c r="C46" i="2"/>
  <c r="E46" i="2" s="1"/>
  <c r="C20" i="2"/>
  <c r="E20" i="2" s="1"/>
  <c r="C6" i="2"/>
  <c r="E6" i="2" s="1"/>
  <c r="C18" i="2"/>
  <c r="E18" i="2" s="1"/>
  <c r="C34" i="2"/>
  <c r="E34" i="2" s="1"/>
  <c r="F14" i="2"/>
  <c r="F48" i="2"/>
  <c r="F27" i="2"/>
  <c r="F34" i="2"/>
  <c r="T94" i="2"/>
  <c r="U110" i="2" s="1"/>
  <c r="R11" i="2"/>
  <c r="U59" i="2"/>
  <c r="U53" i="2"/>
  <c r="U52" i="2"/>
  <c r="V56" i="2" l="1"/>
  <c r="BK75" i="2"/>
  <c r="BN76" i="2"/>
  <c r="BE77" i="2"/>
  <c r="BA76" i="2"/>
  <c r="BH77" i="2"/>
  <c r="AP8" i="1"/>
  <c r="AP6" i="1"/>
  <c r="N8" i="1" s="1"/>
  <c r="N7" i="1"/>
  <c r="AS45" i="2"/>
  <c r="AT45" i="2"/>
  <c r="AW45" i="2"/>
  <c r="AZ45" i="2"/>
  <c r="BC45" i="2"/>
  <c r="BF45" i="2"/>
  <c r="BI45" i="2"/>
  <c r="BL45" i="2"/>
  <c r="BO45" i="2"/>
  <c r="BR45" i="2"/>
  <c r="BU45" i="2"/>
  <c r="BX45" i="2"/>
  <c r="CA45" i="2"/>
  <c r="CD45" i="2"/>
  <c r="CG45" i="2"/>
  <c r="CJ45" i="2"/>
  <c r="CM45" i="2"/>
  <c r="CP45" i="2"/>
  <c r="CS45" i="2"/>
  <c r="AU45" i="2"/>
  <c r="AX45" i="2"/>
  <c r="BA45" i="2"/>
  <c r="BD45" i="2"/>
  <c r="BG45" i="2"/>
  <c r="BJ45" i="2"/>
  <c r="BM45" i="2"/>
  <c r="BP45" i="2"/>
  <c r="BS45" i="2"/>
  <c r="BV45" i="2"/>
  <c r="BY45" i="2"/>
  <c r="CB45" i="2"/>
  <c r="CE45" i="2"/>
  <c r="CH45" i="2"/>
  <c r="CK45" i="2"/>
  <c r="CN45" i="2"/>
  <c r="CQ45" i="2"/>
  <c r="CT45" i="2"/>
  <c r="AV45" i="2"/>
  <c r="AY45" i="2"/>
  <c r="BB45" i="2"/>
  <c r="BE45" i="2"/>
  <c r="BH45" i="2"/>
  <c r="BK45" i="2"/>
  <c r="BN45" i="2"/>
  <c r="BQ45" i="2"/>
  <c r="BT45" i="2"/>
  <c r="BW45" i="2"/>
  <c r="BZ45" i="2"/>
  <c r="CC45" i="2"/>
  <c r="CF45" i="2"/>
  <c r="CI45" i="2"/>
  <c r="CL45" i="2"/>
  <c r="CO45" i="2"/>
  <c r="CR45" i="2"/>
  <c r="AS43" i="2"/>
  <c r="CO43" i="2"/>
  <c r="CR43" i="2"/>
  <c r="CP43" i="2"/>
  <c r="CS43" i="2"/>
  <c r="CQ43" i="2"/>
  <c r="CT43" i="2"/>
  <c r="BO43" i="2"/>
  <c r="BR43" i="2"/>
  <c r="BU43" i="2"/>
  <c r="BX43" i="2"/>
  <c r="CA43" i="2"/>
  <c r="CD43" i="2"/>
  <c r="CG43" i="2"/>
  <c r="CJ43" i="2"/>
  <c r="CM43" i="2"/>
  <c r="AT43" i="2"/>
  <c r="AW43" i="2"/>
  <c r="AZ43" i="2"/>
  <c r="BC43" i="2"/>
  <c r="BF43" i="2"/>
  <c r="BI43" i="2"/>
  <c r="BL43" i="2"/>
  <c r="BN43" i="2"/>
  <c r="BS43" i="2"/>
  <c r="BW43" i="2"/>
  <c r="CB43" i="2"/>
  <c r="CF43" i="2"/>
  <c r="CK43" i="2"/>
  <c r="AU43" i="2"/>
  <c r="AY43" i="2"/>
  <c r="BD43" i="2"/>
  <c r="BH43" i="2"/>
  <c r="BP43" i="2"/>
  <c r="BT43" i="2"/>
  <c r="BY43" i="2"/>
  <c r="CC43" i="2"/>
  <c r="CH43" i="2"/>
  <c r="CL43" i="2"/>
  <c r="AV43" i="2"/>
  <c r="BA43" i="2"/>
  <c r="BE43" i="2"/>
  <c r="BJ43" i="2"/>
  <c r="BM43" i="2"/>
  <c r="BQ43" i="2"/>
  <c r="BV43" i="2"/>
  <c r="BZ43" i="2"/>
  <c r="CE43" i="2"/>
  <c r="CI43" i="2"/>
  <c r="CN43" i="2"/>
  <c r="AX43" i="2"/>
  <c r="BB43" i="2"/>
  <c r="BG43" i="2"/>
  <c r="BK43" i="2"/>
  <c r="AS40" i="2"/>
  <c r="CO40" i="2"/>
  <c r="CR40" i="2"/>
  <c r="BM40" i="2"/>
  <c r="BP40" i="2"/>
  <c r="CP40" i="2"/>
  <c r="CS40" i="2"/>
  <c r="CQ40" i="2"/>
  <c r="CT40" i="2"/>
  <c r="BO40" i="2"/>
  <c r="BR40" i="2"/>
  <c r="BU40" i="2"/>
  <c r="BX40" i="2"/>
  <c r="CA40" i="2"/>
  <c r="CD40" i="2"/>
  <c r="CG40" i="2"/>
  <c r="CJ40" i="2"/>
  <c r="CM40" i="2"/>
  <c r="AT40" i="2"/>
  <c r="AW40" i="2"/>
  <c r="AZ40" i="2"/>
  <c r="BC40" i="2"/>
  <c r="BF40" i="2"/>
  <c r="BI40" i="2"/>
  <c r="BL40" i="2"/>
  <c r="BQ40" i="2"/>
  <c r="BV40" i="2"/>
  <c r="BZ40" i="2"/>
  <c r="CE40" i="2"/>
  <c r="CI40" i="2"/>
  <c r="CN40" i="2"/>
  <c r="AX40" i="2"/>
  <c r="BB40" i="2"/>
  <c r="BG40" i="2"/>
  <c r="BK40" i="2"/>
  <c r="BS40" i="2"/>
  <c r="BW40" i="2"/>
  <c r="CB40" i="2"/>
  <c r="CF40" i="2"/>
  <c r="CK40" i="2"/>
  <c r="AU40" i="2"/>
  <c r="AY40" i="2"/>
  <c r="BD40" i="2"/>
  <c r="BH40" i="2"/>
  <c r="BN40" i="2"/>
  <c r="BT40" i="2"/>
  <c r="BY40" i="2"/>
  <c r="CC40" i="2"/>
  <c r="CH40" i="2"/>
  <c r="CL40" i="2"/>
  <c r="AV40" i="2"/>
  <c r="BA40" i="2"/>
  <c r="BE40" i="2"/>
  <c r="BJ40" i="2"/>
  <c r="AS42" i="2"/>
  <c r="CO42" i="2"/>
  <c r="CR42" i="2"/>
  <c r="CP42" i="2"/>
  <c r="CS42" i="2"/>
  <c r="CQ42" i="2"/>
  <c r="CT42" i="2"/>
  <c r="BM42" i="2"/>
  <c r="BP42" i="2"/>
  <c r="BS42" i="2"/>
  <c r="BV42" i="2"/>
  <c r="BY42" i="2"/>
  <c r="CB42" i="2"/>
  <c r="CE42" i="2"/>
  <c r="CH42" i="2"/>
  <c r="CK42" i="2"/>
  <c r="CN42" i="2"/>
  <c r="AU42" i="2"/>
  <c r="AX42" i="2"/>
  <c r="BA42" i="2"/>
  <c r="BD42" i="2"/>
  <c r="BG42" i="2"/>
  <c r="BJ42" i="2"/>
  <c r="BO42" i="2"/>
  <c r="BT42" i="2"/>
  <c r="BX42" i="2"/>
  <c r="CC42" i="2"/>
  <c r="CG42" i="2"/>
  <c r="CL42" i="2"/>
  <c r="AV42" i="2"/>
  <c r="AZ42" i="2"/>
  <c r="BE42" i="2"/>
  <c r="BI42" i="2"/>
  <c r="BQ42" i="2"/>
  <c r="BU42" i="2"/>
  <c r="BZ42" i="2"/>
  <c r="CD42" i="2"/>
  <c r="CI42" i="2"/>
  <c r="CM42" i="2"/>
  <c r="AW42" i="2"/>
  <c r="BB42" i="2"/>
  <c r="BF42" i="2"/>
  <c r="BK42" i="2"/>
  <c r="BN42" i="2"/>
  <c r="BR42" i="2"/>
  <c r="BW42" i="2"/>
  <c r="CA42" i="2"/>
  <c r="CF42" i="2"/>
  <c r="CJ42" i="2"/>
  <c r="AT42" i="2"/>
  <c r="AY42" i="2"/>
  <c r="BC42" i="2"/>
  <c r="BH42" i="2"/>
  <c r="BL42" i="2"/>
  <c r="BH78" i="2"/>
  <c r="BI78" i="2" s="1"/>
  <c r="BE76" i="2"/>
  <c r="BD75" i="2"/>
  <c r="BJ75" i="2"/>
  <c r="BH76" i="2"/>
  <c r="BI75" i="2"/>
  <c r="BK78" i="2"/>
  <c r="BJ77" i="2"/>
  <c r="BK77" i="2" s="1"/>
  <c r="BD78" i="2"/>
  <c r="BE78" i="2" s="1"/>
  <c r="BF78" i="2" s="1"/>
  <c r="BG78" i="2" s="1"/>
  <c r="BE75" i="2"/>
  <c r="BF75" i="2" s="1"/>
  <c r="BG75" i="2" s="1"/>
  <c r="BL75" i="2"/>
  <c r="BM75" i="2" s="1"/>
  <c r="BN75" i="2" s="1"/>
  <c r="BO75" i="2" s="1"/>
  <c r="BP75" i="2" s="1"/>
  <c r="BF76" i="2"/>
  <c r="BO76" i="2"/>
  <c r="BG76" i="2"/>
  <c r="BQ76" i="2"/>
  <c r="BP76" i="2"/>
  <c r="BH75" i="2"/>
  <c r="BI77" i="2"/>
  <c r="BL78" i="2"/>
  <c r="BM78" i="2" s="1"/>
  <c r="BN78" i="2" s="1"/>
  <c r="BO78" i="2" s="1"/>
  <c r="BP78" i="2" s="1"/>
  <c r="BQ77" i="2"/>
  <c r="BP77" i="2"/>
  <c r="BJ78" i="2"/>
  <c r="BJ76" i="2"/>
  <c r="BK76" i="2" s="1"/>
  <c r="BL77" i="2"/>
  <c r="BL76" i="2"/>
  <c r="BM76" i="2"/>
  <c r="BQ75" i="2"/>
  <c r="BF77" i="2"/>
  <c r="BG77" i="2" s="1"/>
  <c r="BO77" i="2"/>
  <c r="BD77" i="2"/>
  <c r="BM77" i="2"/>
  <c r="BQ78" i="2"/>
  <c r="U78" i="2"/>
  <c r="V78" i="2" s="1"/>
  <c r="U75" i="2"/>
  <c r="V75" i="2" s="1"/>
  <c r="W75" i="2" s="1"/>
  <c r="X75" i="2" s="1"/>
  <c r="Y75" i="2" s="1"/>
  <c r="Z75" i="2" s="1"/>
  <c r="AA75" i="2" s="1"/>
  <c r="AB75" i="2" s="1"/>
  <c r="AC75" i="2" s="1"/>
  <c r="AD75" i="2" s="1"/>
  <c r="AE75" i="2" s="1"/>
  <c r="AF75" i="2" s="1"/>
  <c r="AG75" i="2" s="1"/>
  <c r="AH75" i="2" s="1"/>
  <c r="AI75" i="2" s="1"/>
  <c r="AJ75" i="2" s="1"/>
  <c r="AK75" i="2" s="1"/>
  <c r="AL75" i="2" s="1"/>
  <c r="AM75" i="2" s="1"/>
  <c r="AN75" i="2" s="1"/>
  <c r="AO75" i="2" s="1"/>
  <c r="AP75" i="2" s="1"/>
  <c r="AQ75" i="2" s="1"/>
  <c r="AR75" i="2" s="1"/>
  <c r="AS75" i="2" s="1"/>
  <c r="D43" i="2"/>
  <c r="AY77" i="2"/>
  <c r="AX76" i="2"/>
  <c r="D42" i="2"/>
  <c r="D41" i="2"/>
  <c r="D24" i="2"/>
  <c r="D21" i="2"/>
  <c r="D10" i="2"/>
  <c r="D35" i="2"/>
  <c r="D28" i="2"/>
  <c r="D29" i="2"/>
  <c r="D8" i="2"/>
  <c r="D27" i="2"/>
  <c r="D23" i="2"/>
  <c r="AV77" i="2"/>
  <c r="AT77" i="2"/>
  <c r="AU77" i="2" s="1"/>
  <c r="U77" i="2"/>
  <c r="AU76" i="2"/>
  <c r="X4" i="1"/>
  <c r="Z4" i="1"/>
  <c r="X6" i="1"/>
  <c r="E191" i="2"/>
  <c r="D192" i="2" s="1"/>
  <c r="H192" i="2" s="1"/>
  <c r="D187" i="2"/>
  <c r="H191" i="2"/>
  <c r="BC78" i="2"/>
  <c r="AZ77" i="2"/>
  <c r="BC75" i="2"/>
  <c r="AM42" i="2"/>
  <c r="AP42" i="2"/>
  <c r="S11" i="1"/>
  <c r="AJ42" i="2"/>
  <c r="Z42" i="2"/>
  <c r="AC42" i="2"/>
  <c r="AQ42" i="2"/>
  <c r="X42" i="2"/>
  <c r="Y42" i="2"/>
  <c r="T42" i="2"/>
  <c r="AL42" i="2"/>
  <c r="AN42" i="2"/>
  <c r="W42" i="2"/>
  <c r="AO42" i="2"/>
  <c r="AI42" i="2"/>
  <c r="AE42" i="2"/>
  <c r="AK42" i="2"/>
  <c r="AF42" i="2"/>
  <c r="AA42" i="2"/>
  <c r="AD42" i="2"/>
  <c r="AH42" i="2"/>
  <c r="AG42" i="2"/>
  <c r="U42" i="2"/>
  <c r="AR42" i="2"/>
  <c r="V42" i="2"/>
  <c r="AB42" i="2"/>
  <c r="AY76" i="2"/>
  <c r="AV76" i="2"/>
  <c r="AW76" i="2" s="1"/>
  <c r="U50" i="2"/>
  <c r="X3" i="1" s="1"/>
  <c r="D3" i="2"/>
  <c r="D51" i="2"/>
  <c r="D5" i="2"/>
  <c r="D12" i="2"/>
  <c r="D11" i="2"/>
  <c r="D19" i="2"/>
  <c r="D40" i="2"/>
  <c r="D26" i="2"/>
  <c r="D7" i="2"/>
  <c r="AD45" i="2"/>
  <c r="AL45" i="2"/>
  <c r="AA45" i="2"/>
  <c r="X45" i="2"/>
  <c r="AG45" i="2"/>
  <c r="T45" i="2"/>
  <c r="AO45" i="2"/>
  <c r="U45" i="2"/>
  <c r="AN45" i="2"/>
  <c r="AC45" i="2"/>
  <c r="AR45" i="2"/>
  <c r="S21" i="1"/>
  <c r="V45" i="2"/>
  <c r="AP45" i="2"/>
  <c r="Z45" i="2"/>
  <c r="AE45" i="2"/>
  <c r="AJ45" i="2"/>
  <c r="AQ45" i="2"/>
  <c r="W45" i="2"/>
  <c r="AK45" i="2"/>
  <c r="AI45" i="2"/>
  <c r="AF45" i="2"/>
  <c r="AH45" i="2"/>
  <c r="AB45" i="2"/>
  <c r="AM45" i="2"/>
  <c r="Y45" i="2"/>
  <c r="V77" i="2"/>
  <c r="AT78" i="2"/>
  <c r="AU78" i="2" s="1"/>
  <c r="AV78" i="2" s="1"/>
  <c r="AW78" i="2" s="1"/>
  <c r="AX78" i="2" s="1"/>
  <c r="AY78" i="2" s="1"/>
  <c r="AZ78" i="2" s="1"/>
  <c r="BA78" i="2" s="1"/>
  <c r="BB78" i="2" s="1"/>
  <c r="AZ76" i="2"/>
  <c r="BB76" i="2"/>
  <c r="BC76" i="2"/>
  <c r="BD76" i="2" s="1"/>
  <c r="AT75" i="2"/>
  <c r="AU75" i="2" s="1"/>
  <c r="AV75" i="2" s="1"/>
  <c r="AW75" i="2" s="1"/>
  <c r="AX75" i="2" s="1"/>
  <c r="AY75" i="2" s="1"/>
  <c r="AZ75" i="2" s="1"/>
  <c r="BA75" i="2" s="1"/>
  <c r="BB75" i="2" s="1"/>
  <c r="D9" i="2"/>
  <c r="D32" i="2"/>
  <c r="E38" i="2"/>
  <c r="D22" i="2"/>
  <c r="D15" i="2"/>
  <c r="D36" i="2"/>
  <c r="D13" i="2"/>
  <c r="D33" i="2"/>
  <c r="D44" i="2"/>
  <c r="D34" i="2"/>
  <c r="D20" i="2"/>
  <c r="D17" i="2"/>
  <c r="D31" i="2"/>
  <c r="BB77" i="2"/>
  <c r="BC77" i="2" s="1"/>
  <c r="U57" i="2"/>
  <c r="Z3" i="1" s="1"/>
  <c r="D38" i="2"/>
  <c r="D47" i="2"/>
  <c r="D37" i="2"/>
  <c r="D48" i="2"/>
  <c r="D49" i="2"/>
  <c r="D39" i="2"/>
  <c r="D16" i="2"/>
  <c r="D45" i="2"/>
  <c r="D14" i="2"/>
  <c r="D2" i="2"/>
  <c r="D18" i="2"/>
  <c r="D46" i="2"/>
  <c r="D30" i="2"/>
  <c r="D25" i="2"/>
  <c r="D50" i="2"/>
  <c r="D4" i="2"/>
  <c r="W77" i="2"/>
  <c r="X77" i="2" s="1"/>
  <c r="Y77" i="2" s="1"/>
  <c r="Z77" i="2" s="1"/>
  <c r="AA77" i="2" s="1"/>
  <c r="AB77" i="2" s="1"/>
  <c r="AC77" i="2" s="1"/>
  <c r="AD77" i="2" s="1"/>
  <c r="AE77" i="2" s="1"/>
  <c r="AF77" i="2" s="1"/>
  <c r="AG77" i="2" s="1"/>
  <c r="AH77" i="2" s="1"/>
  <c r="AI77" i="2" s="1"/>
  <c r="AJ77" i="2" s="1"/>
  <c r="AK77" i="2" s="1"/>
  <c r="AL77" i="2" s="1"/>
  <c r="AM77" i="2" s="1"/>
  <c r="AN77" i="2" s="1"/>
  <c r="AO77" i="2" s="1"/>
  <c r="AP77" i="2" s="1"/>
  <c r="AQ77" i="2" s="1"/>
  <c r="AR77" i="2" s="1"/>
  <c r="AN43" i="2"/>
  <c r="AR43" i="2"/>
  <c r="Y43" i="2"/>
  <c r="AI43" i="2"/>
  <c r="W43" i="2"/>
  <c r="AD43" i="2"/>
  <c r="AB43" i="2"/>
  <c r="U43" i="2"/>
  <c r="L21" i="1"/>
  <c r="AL43" i="2"/>
  <c r="X43" i="2"/>
  <c r="AH43" i="2"/>
  <c r="AQ43" i="2"/>
  <c r="AC43" i="2"/>
  <c r="T43" i="2"/>
  <c r="AK43" i="2"/>
  <c r="AP43" i="2"/>
  <c r="AA43" i="2"/>
  <c r="AM43" i="2"/>
  <c r="AF43" i="2"/>
  <c r="AG43" i="2"/>
  <c r="V43" i="2"/>
  <c r="AJ43" i="2"/>
  <c r="AO43" i="2"/>
  <c r="AE43" i="2"/>
  <c r="Z43" i="2"/>
  <c r="W78" i="2"/>
  <c r="X78" i="2" s="1"/>
  <c r="Y78" i="2" s="1"/>
  <c r="Z78" i="2" s="1"/>
  <c r="AA78" i="2" s="1"/>
  <c r="AB78" i="2" s="1"/>
  <c r="AC78" i="2" s="1"/>
  <c r="AD78" i="2" s="1"/>
  <c r="AE78" i="2" s="1"/>
  <c r="AF78" i="2" s="1"/>
  <c r="AG78" i="2" s="1"/>
  <c r="AH78" i="2" s="1"/>
  <c r="AI78" i="2" s="1"/>
  <c r="AJ78" i="2" s="1"/>
  <c r="AK78" i="2" s="1"/>
  <c r="AL78" i="2" s="1"/>
  <c r="AM78" i="2" s="1"/>
  <c r="AN78" i="2" s="1"/>
  <c r="AO78" i="2" s="1"/>
  <c r="AP78" i="2" s="1"/>
  <c r="AQ78" i="2" s="1"/>
  <c r="AR78" i="2" s="1"/>
  <c r="AS78" i="2" s="1"/>
  <c r="AS77" i="2"/>
  <c r="AW77" i="2"/>
  <c r="AT76" i="2"/>
  <c r="T40" i="2"/>
  <c r="V40" i="2"/>
  <c r="AO40" i="2"/>
  <c r="AB40" i="2"/>
  <c r="AD40" i="2"/>
  <c r="AQ40" i="2"/>
  <c r="AA40" i="2"/>
  <c r="AI40" i="2"/>
  <c r="AK40" i="2"/>
  <c r="AN40" i="2"/>
  <c r="AE40" i="2"/>
  <c r="L11" i="1"/>
  <c r="Y40" i="2"/>
  <c r="W40" i="2"/>
  <c r="AR40" i="2"/>
  <c r="X40" i="2"/>
  <c r="AF40" i="2"/>
  <c r="AP40" i="2"/>
  <c r="Z40" i="2"/>
  <c r="AG40" i="2"/>
  <c r="U40" i="2"/>
  <c r="AC40" i="2"/>
  <c r="AM40" i="2"/>
  <c r="AH40" i="2"/>
  <c r="AJ40" i="2"/>
  <c r="AL40" i="2"/>
  <c r="U76" i="2"/>
  <c r="V76" i="2" s="1"/>
  <c r="W76" i="2" s="1"/>
  <c r="X76" i="2" s="1"/>
  <c r="Y76" i="2" s="1"/>
  <c r="Z76" i="2" s="1"/>
  <c r="AA76" i="2" s="1"/>
  <c r="AB76" i="2" s="1"/>
  <c r="AC76" i="2" s="1"/>
  <c r="AD76" i="2" s="1"/>
  <c r="AE76" i="2" s="1"/>
  <c r="AF76" i="2" s="1"/>
  <c r="AG76" i="2" s="1"/>
  <c r="AH76" i="2" s="1"/>
  <c r="AI76" i="2" s="1"/>
  <c r="AJ76" i="2" s="1"/>
  <c r="AK76" i="2" s="1"/>
  <c r="AL76" i="2" s="1"/>
  <c r="AM76" i="2" s="1"/>
  <c r="AN76" i="2" s="1"/>
  <c r="AO76" i="2" s="1"/>
  <c r="AP76" i="2" s="1"/>
  <c r="AQ76" i="2" s="1"/>
  <c r="AR76" i="2" s="1"/>
  <c r="AS76" i="2" s="1"/>
  <c r="U51" i="2"/>
  <c r="X5" i="1" s="1"/>
  <c r="T67" i="2"/>
  <c r="W56" i="2" l="1"/>
  <c r="Z7" i="1"/>
  <c r="T81" i="2"/>
  <c r="X9" i="1" s="1"/>
  <c r="R13" i="2" s="1"/>
  <c r="T82" i="2"/>
  <c r="U82" i="2" s="1"/>
  <c r="T83" i="2"/>
  <c r="T105" i="2" s="1"/>
  <c r="U121" i="2" s="1"/>
  <c r="S7" i="2"/>
  <c r="T95" i="2"/>
  <c r="U111" i="2" s="1"/>
  <c r="T92" i="2"/>
  <c r="R7" i="2"/>
  <c r="E192" i="2"/>
  <c r="F192" i="2" s="1"/>
  <c r="T80" i="2"/>
  <c r="T93" i="2"/>
  <c r="U109" i="2" s="1"/>
  <c r="R9" i="2"/>
  <c r="X56" i="2" l="1"/>
  <c r="T97" i="2"/>
  <c r="U113" i="2" s="1"/>
  <c r="S11" i="2"/>
  <c r="U81" i="2"/>
  <c r="T103" i="2"/>
  <c r="U119" i="2" s="1"/>
  <c r="T104" i="2"/>
  <c r="U120" i="2" s="1"/>
  <c r="Z120" i="2" s="1"/>
  <c r="Z8" i="1"/>
  <c r="S12" i="2" s="1"/>
  <c r="Z9" i="1"/>
  <c r="S13" i="2" s="1"/>
  <c r="U83" i="2"/>
  <c r="X8" i="1"/>
  <c r="R12" i="2" s="1"/>
  <c r="T102" i="2"/>
  <c r="U118" i="2" s="1"/>
  <c r="U80" i="2"/>
  <c r="G192" i="2"/>
  <c r="D193" i="2"/>
  <c r="H193" i="2" s="1"/>
  <c r="U108" i="2"/>
  <c r="Z108" i="2" s="1"/>
  <c r="Y56" i="2" l="1"/>
  <c r="Z118" i="2"/>
  <c r="E193" i="2"/>
  <c r="F193" i="2" s="1"/>
  <c r="Z56" i="2" l="1"/>
  <c r="G193" i="2"/>
  <c r="D194" i="2"/>
  <c r="H194" i="2" s="1"/>
  <c r="AA56" i="2" l="1"/>
  <c r="E194" i="2"/>
  <c r="F194" i="2" s="1"/>
  <c r="AB56" i="2" l="1"/>
  <c r="G194" i="2"/>
  <c r="D195" i="2"/>
  <c r="H195" i="2" s="1"/>
  <c r="AC56" i="2" l="1"/>
  <c r="E195" i="2"/>
  <c r="F195" i="2" s="1"/>
  <c r="AD56" i="2" l="1"/>
  <c r="G195" i="2"/>
  <c r="D196" i="2"/>
  <c r="H196" i="2" s="1"/>
  <c r="AE56" i="2" l="1"/>
  <c r="E196" i="2"/>
  <c r="F196" i="2" s="1"/>
  <c r="AF56" i="2" l="1"/>
  <c r="G196" i="2"/>
  <c r="D197" i="2"/>
  <c r="H197" i="2" s="1"/>
  <c r="AG56" i="2" l="1"/>
  <c r="E197" i="2"/>
  <c r="F197" i="2" s="1"/>
  <c r="AH56" i="2" l="1"/>
  <c r="G197" i="2"/>
  <c r="D198" i="2"/>
  <c r="H198" i="2" s="1"/>
  <c r="AI56" i="2" l="1"/>
  <c r="E198" i="2"/>
  <c r="F198" i="2" s="1"/>
  <c r="U60" i="2"/>
  <c r="Z6" i="1" l="1"/>
  <c r="U58" i="2"/>
  <c r="Z5" i="1" s="1"/>
  <c r="G198" i="2"/>
  <c r="D199" i="2"/>
  <c r="H199" i="2" s="1"/>
  <c r="T96" i="2" l="1"/>
  <c r="S9" i="2"/>
  <c r="R15" i="2" s="1"/>
  <c r="E199" i="2"/>
  <c r="F199" i="2" s="1"/>
  <c r="W44" i="1" l="1"/>
  <c r="U45" i="1"/>
  <c r="AX5" i="1"/>
  <c r="W45" i="1"/>
  <c r="F8" i="1"/>
  <c r="U44" i="1"/>
  <c r="U46" i="1" s="1"/>
  <c r="U47" i="1" s="1"/>
  <c r="F7" i="1"/>
  <c r="W46" i="1"/>
  <c r="W47" i="1" s="1"/>
  <c r="U112" i="2"/>
  <c r="Z111" i="2" s="1"/>
  <c r="T106" i="2"/>
  <c r="G199" i="2"/>
  <c r="D200" i="2"/>
  <c r="H200" i="2" s="1"/>
  <c r="L173" i="2" l="1"/>
  <c r="S171" i="2"/>
  <c r="N171" i="2"/>
  <c r="T172" i="2"/>
  <c r="L174" i="2"/>
  <c r="M173" i="2" s="1"/>
  <c r="T98" i="2"/>
  <c r="AB93" i="2"/>
  <c r="AB92" i="2"/>
  <c r="T99" i="2"/>
  <c r="AB98" i="2"/>
  <c r="U122" i="2" s="1"/>
  <c r="AB99" i="2"/>
  <c r="U123" i="2" s="1"/>
  <c r="AB100" i="2"/>
  <c r="AB94" i="2"/>
  <c r="T100" i="2"/>
  <c r="U116" i="2" s="1"/>
  <c r="Z116" i="2" s="1"/>
  <c r="AB95" i="2"/>
  <c r="E200" i="2"/>
  <c r="F200" i="2" s="1"/>
  <c r="Z122" i="2" l="1"/>
  <c r="N175" i="2"/>
  <c r="U124" i="2"/>
  <c r="Z123" i="2"/>
  <c r="U114" i="2"/>
  <c r="Z114" i="2"/>
  <c r="U115" i="2"/>
  <c r="Z115" i="2"/>
  <c r="N173" i="2"/>
  <c r="M174" i="2"/>
  <c r="N174" i="2" s="1"/>
  <c r="M175" i="2"/>
  <c r="D201" i="2"/>
  <c r="H201" i="2" s="1"/>
  <c r="G200" i="2"/>
  <c r="S49" i="1" l="1"/>
  <c r="E201" i="2"/>
  <c r="G201" i="2" l="1"/>
  <c r="D202" i="2"/>
  <c r="H202" i="2" s="1"/>
  <c r="F201" i="2"/>
  <c r="E202" i="2" l="1"/>
  <c r="G202" i="2" l="1"/>
  <c r="D203" i="2"/>
  <c r="H203" i="2" s="1"/>
  <c r="F202" i="2"/>
  <c r="E203" i="2" l="1"/>
  <c r="G203" i="2" l="1"/>
  <c r="D204" i="2"/>
  <c r="H204" i="2" s="1"/>
  <c r="F203" i="2"/>
  <c r="E204" i="2" l="1"/>
  <c r="G204" i="2" l="1"/>
  <c r="D205" i="2"/>
  <c r="H205" i="2" s="1"/>
  <c r="F204" i="2"/>
  <c r="E205" i="2" l="1"/>
  <c r="G205" i="2" l="1"/>
  <c r="D206" i="2"/>
  <c r="H206" i="2" s="1"/>
  <c r="F205" i="2"/>
  <c r="E206" i="2" l="1"/>
  <c r="G206" i="2" l="1"/>
  <c r="D207" i="2"/>
  <c r="H207" i="2" s="1"/>
  <c r="F206" i="2"/>
  <c r="E207" i="2" l="1"/>
  <c r="F207" i="2" s="1"/>
  <c r="G207" i="2" l="1"/>
  <c r="D208" i="2"/>
  <c r="H208" i="2" s="1"/>
  <c r="E208" i="2" l="1"/>
  <c r="F208" i="2" s="1"/>
  <c r="G208" i="2" l="1"/>
  <c r="D209" i="2"/>
  <c r="H209" i="2" s="1"/>
  <c r="E209" i="2" l="1"/>
  <c r="F209" i="2" s="1"/>
  <c r="G209" i="2" l="1"/>
  <c r="D210" i="2"/>
  <c r="H210" i="2" s="1"/>
  <c r="E210" i="2" l="1"/>
  <c r="F210" i="2" s="1"/>
  <c r="G210" i="2" l="1"/>
  <c r="D211" i="2"/>
  <c r="H211" i="2" s="1"/>
  <c r="E211" i="2" l="1"/>
  <c r="F211" i="2" s="1"/>
  <c r="G211" i="2" l="1"/>
  <c r="D212" i="2"/>
  <c r="H212" i="2" s="1"/>
  <c r="E212" i="2" l="1"/>
  <c r="F212" i="2" s="1"/>
  <c r="G212" i="2" l="1"/>
  <c r="D213" i="2"/>
  <c r="H213" i="2" s="1"/>
  <c r="E213" i="2" l="1"/>
  <c r="F213" i="2" s="1"/>
  <c r="G213" i="2" l="1"/>
  <c r="D214" i="2"/>
  <c r="H214" i="2" s="1"/>
  <c r="E214" i="2" l="1"/>
  <c r="F214" i="2" s="1"/>
  <c r="G214" i="2" l="1"/>
  <c r="D215" i="2"/>
  <c r="H215" i="2" s="1"/>
  <c r="E215" i="2" l="1"/>
  <c r="F215" i="2" s="1"/>
  <c r="G215" i="2" l="1"/>
  <c r="D216" i="2"/>
  <c r="H216" i="2" s="1"/>
  <c r="E216" i="2" l="1"/>
  <c r="F216" i="2" s="1"/>
  <c r="G216" i="2" l="1"/>
  <c r="D217" i="2"/>
  <c r="H217" i="2" s="1"/>
  <c r="E217" i="2" l="1"/>
  <c r="F217" i="2" s="1"/>
  <c r="G217" i="2" l="1"/>
  <c r="D218" i="2"/>
  <c r="H218" i="2" s="1"/>
  <c r="E218" i="2" l="1"/>
  <c r="F218" i="2" s="1"/>
  <c r="G218" i="2" l="1"/>
  <c r="D219" i="2"/>
  <c r="H219" i="2" s="1"/>
  <c r="E219" i="2" l="1"/>
  <c r="G219" i="2" l="1"/>
  <c r="D220" i="2"/>
  <c r="H220" i="2" s="1"/>
  <c r="F219" i="2"/>
  <c r="E220" i="2" l="1"/>
  <c r="F220" i="2" s="1"/>
  <c r="G220" i="2" l="1"/>
  <c r="D221" i="2"/>
  <c r="H221" i="2" s="1"/>
  <c r="E221" i="2" l="1"/>
  <c r="F221" i="2" s="1"/>
  <c r="G221" i="2" l="1"/>
  <c r="D222" i="2"/>
  <c r="H222" i="2" s="1"/>
  <c r="E222" i="2" l="1"/>
  <c r="F222" i="2" s="1"/>
  <c r="G222" i="2" l="1"/>
  <c r="D223" i="2"/>
  <c r="H223" i="2" s="1"/>
  <c r="E223" i="2" l="1"/>
  <c r="F223" i="2" s="1"/>
  <c r="G223" i="2" l="1"/>
  <c r="D224" i="2"/>
  <c r="H224" i="2" s="1"/>
  <c r="E224" i="2" l="1"/>
  <c r="F224" i="2" s="1"/>
  <c r="G224" i="2" l="1"/>
  <c r="D225" i="2"/>
  <c r="H225" i="2" s="1"/>
  <c r="E225" i="2" l="1"/>
  <c r="F225" i="2" s="1"/>
  <c r="G225" i="2" l="1"/>
  <c r="D226" i="2"/>
  <c r="H226" i="2" s="1"/>
  <c r="E226" i="2" l="1"/>
  <c r="F226" i="2" s="1"/>
  <c r="G226" i="2" l="1"/>
  <c r="D227" i="2"/>
  <c r="H227" i="2" s="1"/>
  <c r="E227" i="2" l="1"/>
  <c r="F227" i="2" s="1"/>
  <c r="G227" i="2" l="1"/>
  <c r="D228" i="2"/>
  <c r="H228" i="2" s="1"/>
  <c r="E228" i="2" l="1"/>
  <c r="F228" i="2" s="1"/>
  <c r="G228" i="2" l="1"/>
  <c r="D229" i="2"/>
  <c r="H229" i="2" s="1"/>
  <c r="E229" i="2" l="1"/>
  <c r="F229" i="2" s="1"/>
  <c r="G229" i="2" l="1"/>
  <c r="D230" i="2"/>
  <c r="H230" i="2" s="1"/>
  <c r="E230" i="2" l="1"/>
  <c r="F230" i="2" s="1"/>
  <c r="G230" i="2" l="1"/>
  <c r="D231" i="2"/>
  <c r="H231" i="2" s="1"/>
  <c r="E231" i="2" l="1"/>
  <c r="D232" i="2" l="1"/>
  <c r="H232" i="2" s="1"/>
  <c r="G231" i="2"/>
  <c r="F231" i="2"/>
  <c r="E232" i="2" l="1"/>
  <c r="G232" i="2" l="1"/>
  <c r="D233" i="2"/>
  <c r="H233" i="2" s="1"/>
  <c r="F232" i="2"/>
  <c r="E233" i="2" l="1"/>
  <c r="F233" i="2" s="1"/>
  <c r="G233" i="2" l="1"/>
  <c r="D234" i="2"/>
  <c r="H234" i="2" s="1"/>
  <c r="E234" i="2" l="1"/>
  <c r="F234" i="2" s="1"/>
  <c r="D235" i="2" l="1"/>
  <c r="H235" i="2" s="1"/>
  <c r="G234" i="2"/>
  <c r="E235" i="2" l="1"/>
  <c r="F235" i="2" s="1"/>
  <c r="G235" i="2" l="1"/>
  <c r="D236" i="2"/>
  <c r="H236" i="2" s="1"/>
  <c r="E236" i="2" l="1"/>
  <c r="F236" i="2" s="1"/>
  <c r="G236" i="2" l="1"/>
  <c r="D237" i="2"/>
  <c r="H237" i="2" s="1"/>
  <c r="E237" i="2" l="1"/>
  <c r="F237" i="2" s="1"/>
  <c r="G237" i="2" l="1"/>
  <c r="D238" i="2"/>
  <c r="H238" i="2" s="1"/>
  <c r="E238" i="2" l="1"/>
  <c r="F238" i="2" s="1"/>
  <c r="G238" i="2" l="1"/>
  <c r="D239" i="2"/>
  <c r="H239" i="2" s="1"/>
  <c r="E239" i="2" l="1"/>
  <c r="F239" i="2" s="1"/>
  <c r="G239" i="2" l="1"/>
  <c r="D240" i="2"/>
  <c r="H240" i="2" s="1"/>
  <c r="E240" i="2" l="1"/>
  <c r="F240" i="2" s="1"/>
  <c r="D241" i="2" l="1"/>
  <c r="H241" i="2" s="1"/>
  <c r="G240" i="2"/>
  <c r="E241" i="2" l="1"/>
  <c r="F241" i="2" s="1"/>
  <c r="G241" i="2" l="1"/>
  <c r="D242" i="2"/>
  <c r="H242" i="2" s="1"/>
  <c r="E242" i="2" l="1"/>
  <c r="F242" i="2" s="1"/>
  <c r="G242" i="2" l="1"/>
  <c r="D243" i="2"/>
  <c r="H243" i="2" s="1"/>
  <c r="E243" i="2" l="1"/>
  <c r="F243" i="2" s="1"/>
  <c r="D244" i="2" l="1"/>
  <c r="H244" i="2" s="1"/>
  <c r="G243" i="2"/>
  <c r="E244" i="2" l="1"/>
  <c r="F244" i="2" s="1"/>
  <c r="G244" i="2" l="1"/>
  <c r="D245" i="2"/>
  <c r="H245" i="2" s="1"/>
  <c r="E245" i="2" l="1"/>
  <c r="F245" i="2" s="1"/>
  <c r="G245" i="2" l="1"/>
  <c r="D246" i="2"/>
  <c r="H246" i="2" s="1"/>
  <c r="E246" i="2" l="1"/>
  <c r="F246" i="2" s="1"/>
  <c r="G246" i="2" l="1"/>
  <c r="D247" i="2"/>
  <c r="H247" i="2" s="1"/>
  <c r="E247" i="2" l="1"/>
  <c r="F247" i="2" s="1"/>
  <c r="G247" i="2" l="1"/>
  <c r="D248" i="2"/>
  <c r="H248" i="2" s="1"/>
  <c r="E248" i="2" l="1"/>
  <c r="F248" i="2" s="1"/>
  <c r="G248" i="2" l="1"/>
  <c r="D249" i="2"/>
  <c r="H249" i="2" s="1"/>
  <c r="E249" i="2" l="1"/>
  <c r="F249" i="2" s="1"/>
  <c r="D250" i="2" l="1"/>
  <c r="H250" i="2" s="1"/>
  <c r="G249" i="2"/>
  <c r="E250" i="2" l="1"/>
  <c r="F250" i="2" s="1"/>
  <c r="G250" i="2" l="1"/>
  <c r="D251" i="2"/>
  <c r="H251" i="2" s="1"/>
  <c r="E251" i="2" l="1"/>
  <c r="F251" i="2" s="1"/>
  <c r="G251" i="2" l="1"/>
  <c r="D252" i="2"/>
  <c r="H252" i="2" s="1"/>
  <c r="E252" i="2" l="1"/>
  <c r="F252" i="2" s="1"/>
  <c r="D253" i="2" l="1"/>
  <c r="H253" i="2" s="1"/>
  <c r="G252" i="2"/>
  <c r="E253" i="2" l="1"/>
  <c r="F253" i="2" s="1"/>
  <c r="G253" i="2" l="1"/>
  <c r="D254" i="2"/>
  <c r="H254" i="2" s="1"/>
  <c r="E254" i="2" l="1"/>
  <c r="F254" i="2" s="1"/>
  <c r="G254" i="2" l="1"/>
  <c r="D255" i="2"/>
  <c r="H255" i="2" s="1"/>
  <c r="E255" i="2" l="1"/>
  <c r="F255" i="2" s="1"/>
  <c r="G255" i="2" l="1"/>
  <c r="D256" i="2"/>
  <c r="H256" i="2" s="1"/>
  <c r="E256" i="2" l="1"/>
  <c r="F256" i="2" s="1"/>
  <c r="G256" i="2" l="1"/>
  <c r="D257" i="2"/>
  <c r="H257" i="2" s="1"/>
  <c r="E257" i="2" l="1"/>
  <c r="F257" i="2" s="1"/>
  <c r="G257" i="2" l="1"/>
  <c r="D258" i="2"/>
  <c r="H258" i="2" s="1"/>
  <c r="E258" i="2" l="1"/>
  <c r="F258" i="2" s="1"/>
  <c r="D259" i="2" l="1"/>
  <c r="H259" i="2" s="1"/>
  <c r="G258" i="2"/>
  <c r="E259" i="2" l="1"/>
  <c r="G259" i="2" l="1"/>
  <c r="D260" i="2"/>
  <c r="H260" i="2" s="1"/>
  <c r="F259" i="2"/>
  <c r="E260" i="2" l="1"/>
  <c r="G260" i="2" l="1"/>
  <c r="D261" i="2"/>
  <c r="H261" i="2" s="1"/>
  <c r="F260" i="2"/>
  <c r="E261" i="2" l="1"/>
  <c r="D262" i="2" l="1"/>
  <c r="H262" i="2" s="1"/>
  <c r="G261" i="2"/>
  <c r="F261" i="2"/>
  <c r="E262" i="2" l="1"/>
  <c r="G262" i="2" l="1"/>
  <c r="D263" i="2"/>
  <c r="H263" i="2" s="1"/>
  <c r="F262" i="2"/>
  <c r="E263" i="2" l="1"/>
  <c r="F263" i="2" s="1"/>
  <c r="G263" i="2" l="1"/>
  <c r="D264" i="2"/>
  <c r="H264" i="2" s="1"/>
  <c r="E264" i="2" l="1"/>
  <c r="F264" i="2" s="1"/>
  <c r="G264" i="2" l="1"/>
  <c r="D265" i="2"/>
  <c r="H265" i="2" s="1"/>
  <c r="E265" i="2" l="1"/>
  <c r="F265" i="2" s="1"/>
  <c r="G265" i="2" l="1"/>
  <c r="D266" i="2"/>
  <c r="H266" i="2" s="1"/>
  <c r="E266" i="2" l="1"/>
  <c r="F266" i="2" s="1"/>
  <c r="G266" i="2" l="1"/>
  <c r="D267" i="2"/>
  <c r="H267" i="2" s="1"/>
  <c r="E267" i="2" l="1"/>
  <c r="F267" i="2" s="1"/>
  <c r="D268" i="2" l="1"/>
  <c r="H268" i="2" s="1"/>
  <c r="G267" i="2"/>
  <c r="E268" i="2" l="1"/>
  <c r="F268" i="2" s="1"/>
  <c r="G268" i="2" l="1"/>
  <c r="D269" i="2"/>
  <c r="H269" i="2" s="1"/>
  <c r="E269" i="2" l="1"/>
  <c r="F269" i="2" s="1"/>
  <c r="G269" i="2" l="1"/>
  <c r="D270" i="2"/>
  <c r="H270" i="2" s="1"/>
  <c r="E270" i="2" l="1"/>
  <c r="F270" i="2" s="1"/>
  <c r="D271" i="2" l="1"/>
  <c r="H271" i="2" s="1"/>
  <c r="G270" i="2"/>
  <c r="E271" i="2" l="1"/>
  <c r="F271" i="2" s="1"/>
  <c r="G271" i="2" l="1"/>
  <c r="D272" i="2"/>
  <c r="H272" i="2" s="1"/>
  <c r="E272" i="2" l="1"/>
  <c r="F272" i="2" s="1"/>
  <c r="G272" i="2" l="1"/>
  <c r="D273" i="2"/>
  <c r="H273" i="2" s="1"/>
  <c r="E273" i="2" l="1"/>
  <c r="G273" i="2" l="1"/>
  <c r="D274" i="2"/>
  <c r="H274" i="2" s="1"/>
  <c r="F273" i="2"/>
  <c r="E274" i="2" l="1"/>
  <c r="F274" i="2" s="1"/>
  <c r="G274" i="2" l="1"/>
  <c r="D275" i="2"/>
  <c r="H275" i="2" s="1"/>
  <c r="E275" i="2" l="1"/>
  <c r="F275" i="2" s="1"/>
  <c r="G275" i="2" l="1"/>
  <c r="D276" i="2"/>
  <c r="H276" i="2" s="1"/>
  <c r="E276" i="2" l="1"/>
  <c r="F276" i="2" s="1"/>
  <c r="D277" i="2" l="1"/>
  <c r="H277" i="2" s="1"/>
  <c r="G276" i="2"/>
  <c r="E277" i="2" l="1"/>
  <c r="F277" i="2" s="1"/>
  <c r="G277" i="2" l="1"/>
  <c r="D278" i="2"/>
  <c r="H278" i="2" s="1"/>
  <c r="E278" i="2" l="1"/>
  <c r="F278" i="2" s="1"/>
  <c r="G278" i="2" l="1"/>
  <c r="D279" i="2"/>
  <c r="H279" i="2" s="1"/>
  <c r="E279" i="2" l="1"/>
  <c r="F279" i="2" s="1"/>
  <c r="D280" i="2" l="1"/>
  <c r="H280" i="2" s="1"/>
  <c r="G279" i="2"/>
  <c r="E280" i="2" l="1"/>
  <c r="F280" i="2" s="1"/>
  <c r="G280" i="2" l="1"/>
  <c r="D281" i="2"/>
  <c r="H281" i="2" s="1"/>
  <c r="E281" i="2" l="1"/>
  <c r="F281" i="2" s="1"/>
  <c r="G281" i="2" l="1"/>
  <c r="D282" i="2"/>
  <c r="H282" i="2" s="1"/>
  <c r="E282" i="2" l="1"/>
  <c r="F282" i="2" s="1"/>
  <c r="G282" i="2" l="1"/>
  <c r="D283" i="2"/>
  <c r="H283" i="2" s="1"/>
  <c r="E283" i="2" l="1"/>
  <c r="G283" i="2" l="1"/>
  <c r="D284" i="2"/>
  <c r="H284" i="2" s="1"/>
  <c r="F283" i="2"/>
  <c r="E284" i="2" l="1"/>
  <c r="F284" i="2" s="1"/>
  <c r="G284" i="2" l="1"/>
  <c r="D285" i="2"/>
  <c r="H285" i="2" s="1"/>
  <c r="E285" i="2" l="1"/>
  <c r="D286" i="2" l="1"/>
  <c r="H286" i="2" s="1"/>
  <c r="G285" i="2"/>
  <c r="F285" i="2"/>
  <c r="E286" i="2" l="1"/>
  <c r="F286" i="2" s="1"/>
  <c r="G286" i="2" l="1"/>
  <c r="D287" i="2"/>
  <c r="H287" i="2" s="1"/>
  <c r="E287" i="2" l="1"/>
  <c r="F287" i="2" s="1"/>
  <c r="G287" i="2" l="1"/>
  <c r="D288" i="2"/>
  <c r="H288" i="2" s="1"/>
  <c r="E288" i="2" l="1"/>
  <c r="F288" i="2" s="1"/>
  <c r="D289" i="2" l="1"/>
  <c r="H289" i="2" s="1"/>
  <c r="G288" i="2"/>
  <c r="E289" i="2" l="1"/>
  <c r="F289" i="2" s="1"/>
  <c r="G289" i="2" l="1"/>
  <c r="D290" i="2"/>
  <c r="H290" i="2" s="1"/>
  <c r="E290" i="2" l="1"/>
  <c r="F290" i="2" s="1"/>
  <c r="G290" i="2" l="1"/>
  <c r="D291" i="2"/>
  <c r="H291" i="2" s="1"/>
  <c r="E291" i="2" l="1"/>
  <c r="G291" i="2" l="1"/>
  <c r="D292" i="2"/>
  <c r="H292" i="2" s="1"/>
  <c r="F291" i="2"/>
  <c r="E292" i="2" l="1"/>
  <c r="G292" i="2" l="1"/>
  <c r="D293" i="2"/>
  <c r="H293" i="2" s="1"/>
  <c r="F292" i="2"/>
  <c r="E293" i="2" l="1"/>
  <c r="F293" i="2" s="1"/>
  <c r="G293" i="2" l="1"/>
  <c r="D294" i="2"/>
  <c r="H294" i="2" s="1"/>
  <c r="E294" i="2" l="1"/>
  <c r="F294" i="2" s="1"/>
  <c r="D295" i="2" l="1"/>
  <c r="H295" i="2" s="1"/>
  <c r="G294" i="2"/>
  <c r="E295" i="2" l="1"/>
  <c r="F295" i="2" s="1"/>
  <c r="G295" i="2" l="1"/>
  <c r="D296" i="2"/>
  <c r="H296" i="2" s="1"/>
  <c r="E296" i="2" l="1"/>
  <c r="F296" i="2" s="1"/>
  <c r="G296" i="2" l="1"/>
  <c r="D297" i="2"/>
  <c r="H297" i="2" s="1"/>
  <c r="E297" i="2" l="1"/>
  <c r="F297" i="2" s="1"/>
  <c r="D298" i="2" l="1"/>
  <c r="H298" i="2" s="1"/>
  <c r="G297" i="2"/>
  <c r="E298" i="2" l="1"/>
  <c r="F298" i="2" s="1"/>
  <c r="G298" i="2" l="1"/>
  <c r="D299" i="2"/>
  <c r="H299" i="2" s="1"/>
  <c r="E299" i="2" l="1"/>
  <c r="F299" i="2" s="1"/>
  <c r="G299" i="2" l="1"/>
  <c r="D300" i="2"/>
  <c r="H300" i="2" s="1"/>
  <c r="E300" i="2" l="1"/>
  <c r="F300" i="2" s="1"/>
  <c r="G300" i="2" l="1"/>
  <c r="D301" i="2"/>
  <c r="H301" i="2" s="1"/>
  <c r="E301" i="2" l="1"/>
  <c r="F301" i="2" s="1"/>
  <c r="G301" i="2" l="1"/>
  <c r="D302" i="2"/>
  <c r="H302" i="2" s="1"/>
  <c r="E302" i="2" l="1"/>
  <c r="F302" i="2" s="1"/>
  <c r="G302" i="2" l="1"/>
  <c r="D303" i="2"/>
  <c r="H303" i="2" s="1"/>
  <c r="E303" i="2" l="1"/>
  <c r="F303" i="2" s="1"/>
  <c r="D304" i="2" l="1"/>
  <c r="H304" i="2" s="1"/>
  <c r="G303" i="2"/>
  <c r="E304" i="2" l="1"/>
  <c r="F304" i="2" s="1"/>
  <c r="G304" i="2" l="1"/>
  <c r="D305" i="2"/>
  <c r="H305" i="2" s="1"/>
  <c r="E305" i="2" l="1"/>
  <c r="F305" i="2" s="1"/>
  <c r="G305" i="2" l="1"/>
  <c r="D306" i="2"/>
  <c r="H306" i="2" s="1"/>
  <c r="E306" i="2" l="1"/>
  <c r="F306" i="2" s="1"/>
  <c r="D307" i="2" l="1"/>
  <c r="H307" i="2" s="1"/>
  <c r="G306" i="2"/>
  <c r="E307" i="2" l="1"/>
  <c r="F307" i="2" s="1"/>
  <c r="G307" i="2" l="1"/>
  <c r="D308" i="2"/>
  <c r="H308" i="2" s="1"/>
  <c r="E308" i="2" l="1"/>
  <c r="F308" i="2" s="1"/>
  <c r="G308" i="2" l="1"/>
  <c r="D309" i="2"/>
  <c r="H309" i="2" s="1"/>
  <c r="E309" i="2" l="1"/>
  <c r="F309" i="2" s="1"/>
  <c r="G309" i="2" l="1"/>
  <c r="D310" i="2"/>
  <c r="H310" i="2" s="1"/>
  <c r="E310" i="2" l="1"/>
  <c r="F310" i="2" s="1"/>
  <c r="G310" i="2" l="1"/>
  <c r="D311" i="2"/>
  <c r="H311" i="2" s="1"/>
  <c r="E311" i="2" l="1"/>
  <c r="F311" i="2" s="1"/>
  <c r="G311" i="2" l="1"/>
  <c r="D312" i="2"/>
  <c r="H312" i="2" s="1"/>
  <c r="E312" i="2" l="1"/>
  <c r="F312" i="2" s="1"/>
  <c r="D313" i="2" l="1"/>
  <c r="H313" i="2" s="1"/>
  <c r="G312" i="2"/>
  <c r="E313" i="2" l="1"/>
  <c r="F313" i="2" s="1"/>
  <c r="G313" i="2" l="1"/>
  <c r="D314" i="2"/>
  <c r="H314" i="2" s="1"/>
  <c r="E314" i="2" l="1"/>
  <c r="F314" i="2" s="1"/>
  <c r="G314" i="2" l="1"/>
  <c r="D315" i="2"/>
  <c r="H315" i="2" s="1"/>
  <c r="E315" i="2" l="1"/>
  <c r="F315" i="2" s="1"/>
  <c r="D316" i="2" l="1"/>
  <c r="H316" i="2" s="1"/>
  <c r="G315" i="2"/>
  <c r="E316" i="2" l="1"/>
  <c r="F316" i="2" s="1"/>
  <c r="G316" i="2" l="1"/>
  <c r="D317" i="2"/>
  <c r="H317" i="2" s="1"/>
  <c r="E317" i="2" l="1"/>
  <c r="F317" i="2" s="1"/>
  <c r="G317" i="2" l="1"/>
  <c r="D318" i="2"/>
  <c r="H318" i="2" s="1"/>
  <c r="E318" i="2" l="1"/>
  <c r="F318" i="2" s="1"/>
  <c r="G318" i="2" l="1"/>
  <c r="D319" i="2"/>
  <c r="H319" i="2" s="1"/>
  <c r="E319" i="2" l="1"/>
  <c r="F319" i="2" s="1"/>
  <c r="G319" i="2" l="1"/>
  <c r="D320" i="2"/>
  <c r="H320" i="2" s="1"/>
  <c r="E320" i="2" l="1"/>
  <c r="F320" i="2" s="1"/>
  <c r="G320" i="2" l="1"/>
  <c r="D321" i="2"/>
  <c r="H321" i="2" s="1"/>
  <c r="E321" i="2" l="1"/>
  <c r="F321" i="2" s="1"/>
  <c r="D322" i="2" l="1"/>
  <c r="H322" i="2" s="1"/>
  <c r="G321" i="2"/>
  <c r="E322" i="2" l="1"/>
  <c r="F322" i="2" s="1"/>
  <c r="G322" i="2" l="1"/>
  <c r="D323" i="2"/>
  <c r="H323" i="2" s="1"/>
  <c r="E323" i="2" l="1"/>
  <c r="F323" i="2" s="1"/>
  <c r="G323" i="2" l="1"/>
  <c r="D324" i="2"/>
  <c r="H324" i="2" s="1"/>
  <c r="E324" i="2" l="1"/>
  <c r="F324" i="2" s="1"/>
  <c r="D325" i="2" l="1"/>
  <c r="H325" i="2" s="1"/>
  <c r="G324" i="2"/>
  <c r="E325" i="2" l="1"/>
  <c r="F325" i="2" s="1"/>
  <c r="G325" i="2" l="1"/>
  <c r="D326" i="2"/>
  <c r="H326" i="2" s="1"/>
  <c r="E326" i="2" l="1"/>
  <c r="F326" i="2" s="1"/>
  <c r="G326" i="2" l="1"/>
  <c r="D327" i="2"/>
  <c r="H327" i="2" s="1"/>
  <c r="E327" i="2" l="1"/>
  <c r="F327" i="2" s="1"/>
  <c r="D328" i="2" l="1"/>
  <c r="H328" i="2" s="1"/>
  <c r="G327" i="2"/>
  <c r="E328" i="2" l="1"/>
  <c r="F328" i="2" s="1"/>
  <c r="G328" i="2" l="1"/>
  <c r="D329" i="2"/>
  <c r="H329" i="2" s="1"/>
  <c r="E329" i="2" l="1"/>
  <c r="G329" i="2" l="1"/>
  <c r="D330" i="2"/>
  <c r="H330" i="2" s="1"/>
  <c r="F329" i="2"/>
  <c r="E330" i="2" l="1"/>
  <c r="F330" i="2" s="1"/>
  <c r="D331" i="2" l="1"/>
  <c r="H331" i="2" s="1"/>
  <c r="G330" i="2"/>
  <c r="E331" i="2" l="1"/>
  <c r="F331" i="2" s="1"/>
  <c r="G331" i="2" l="1"/>
  <c r="D332" i="2"/>
  <c r="H332" i="2" s="1"/>
  <c r="E332" i="2" l="1"/>
  <c r="F332" i="2" s="1"/>
  <c r="G332" i="2" l="1"/>
  <c r="D333" i="2"/>
  <c r="H333" i="2" s="1"/>
  <c r="E333" i="2" l="1"/>
  <c r="F333" i="2" s="1"/>
  <c r="D334" i="2" l="1"/>
  <c r="H334" i="2" s="1"/>
  <c r="G333" i="2"/>
  <c r="E334" i="2" l="1"/>
  <c r="F334" i="2" s="1"/>
  <c r="G334" i="2" l="1"/>
  <c r="D335" i="2"/>
  <c r="H335" i="2" s="1"/>
  <c r="E335" i="2" l="1"/>
  <c r="F335" i="2" s="1"/>
  <c r="G335" i="2" l="1"/>
  <c r="D336" i="2"/>
  <c r="H336" i="2" s="1"/>
  <c r="E336" i="2" l="1"/>
  <c r="F336" i="2" s="1"/>
  <c r="G336" i="2" l="1"/>
  <c r="D337" i="2"/>
  <c r="H337" i="2" s="1"/>
  <c r="E337" i="2" l="1"/>
  <c r="F337" i="2" s="1"/>
  <c r="G337" i="2" l="1"/>
  <c r="D338" i="2"/>
  <c r="H338" i="2" s="1"/>
  <c r="E338" i="2" l="1"/>
  <c r="F338" i="2" s="1"/>
  <c r="G338" i="2" l="1"/>
  <c r="D339" i="2"/>
  <c r="H339" i="2" s="1"/>
  <c r="E339" i="2" l="1"/>
  <c r="F339" i="2" s="1"/>
  <c r="D340" i="2" l="1"/>
  <c r="H340" i="2" s="1"/>
  <c r="G339" i="2"/>
  <c r="E340" i="2" l="1"/>
  <c r="F340" i="2" s="1"/>
  <c r="G340" i="2" l="1"/>
  <c r="D341" i="2"/>
  <c r="H341" i="2" s="1"/>
  <c r="E341" i="2" l="1"/>
  <c r="G341" i="2" s="1"/>
  <c r="F341" i="2" l="1"/>
</calcChain>
</file>

<file path=xl/sharedStrings.xml><?xml version="1.0" encoding="utf-8"?>
<sst xmlns="http://schemas.openxmlformats.org/spreadsheetml/2006/main" count="275" uniqueCount="223">
  <si>
    <t>Out of Control Limits</t>
  </si>
  <si>
    <t>READINGS</t>
  </si>
  <si>
    <t>Z</t>
  </si>
  <si>
    <t>Obs Cum Freq</t>
  </si>
  <si>
    <t>Exp Norm Dist</t>
  </si>
  <si>
    <t>Normal Percent</t>
  </si>
  <si>
    <t>Std Dev.</t>
  </si>
  <si>
    <t xml:space="preserve">Unit of Measure = </t>
  </si>
  <si>
    <t xml:space="preserve">Number of Entries = </t>
  </si>
  <si>
    <t xml:space="preserve">Average = </t>
  </si>
  <si>
    <t>Minimum Value =</t>
  </si>
  <si>
    <t>Maximum Value =</t>
  </si>
  <si>
    <t>Range =</t>
  </si>
  <si>
    <t>Number of Bars =</t>
  </si>
  <si>
    <t xml:space="preserve">Number of Classes = </t>
  </si>
  <si>
    <t>Class Width =</t>
  </si>
  <si>
    <t xml:space="preserve">Beginning Point = </t>
  </si>
  <si>
    <t>Start</t>
  </si>
  <si>
    <t>End</t>
  </si>
  <si>
    <t>Count</t>
  </si>
  <si>
    <t>Please Enter</t>
  </si>
  <si>
    <t>Number of Bars</t>
  </si>
  <si>
    <t>for Histogram</t>
  </si>
  <si>
    <t>NORMAL PROBABILITY PLOT</t>
  </si>
  <si>
    <t>OBSERVED</t>
  </si>
  <si>
    <t>EXPECTED</t>
  </si>
  <si>
    <t>PPM &lt; LSL =</t>
  </si>
  <si>
    <t>PPM &gt; USL =</t>
  </si>
  <si>
    <t>PPM =</t>
  </si>
  <si>
    <t>% DEFECTS =</t>
  </si>
  <si>
    <t>Significant trends of data points:</t>
  </si>
  <si>
    <t>X bar</t>
  </si>
  <si>
    <t>Lower R</t>
  </si>
  <si>
    <t>Upper R</t>
  </si>
  <si>
    <t>AA3=0 if none</t>
  </si>
  <si>
    <t xml:space="preserve"> </t>
  </si>
  <si>
    <t>Increasing</t>
  </si>
  <si>
    <t>RUN LENGTH</t>
  </si>
  <si>
    <t>n</t>
  </si>
  <si>
    <t>a2</t>
  </si>
  <si>
    <t>d3</t>
  </si>
  <si>
    <t>d4</t>
  </si>
  <si>
    <t>PPU</t>
  </si>
  <si>
    <t>AA3=1 if bilateral</t>
  </si>
  <si>
    <t>HOW MANY RUNS</t>
  </si>
  <si>
    <t>PPL</t>
  </si>
  <si>
    <t>AA3=2 if Min</t>
  </si>
  <si>
    <t>Decreasing</t>
  </si>
  <si>
    <t>AA3=3 if Max</t>
  </si>
  <si>
    <t>Consecutive data points above avg.</t>
  </si>
  <si>
    <t>Consecutive data points below avg.</t>
  </si>
  <si>
    <t>AveX</t>
  </si>
  <si>
    <t>UCLx</t>
  </si>
  <si>
    <t>Min</t>
  </si>
  <si>
    <t>LH term</t>
  </si>
  <si>
    <t>RH term</t>
  </si>
  <si>
    <t>Low end</t>
  </si>
  <si>
    <t>High end</t>
  </si>
  <si>
    <t>LCLx</t>
  </si>
  <si>
    <t>Max</t>
  </si>
  <si>
    <t>AveR</t>
  </si>
  <si>
    <t>UCLr</t>
  </si>
  <si>
    <t>Diff</t>
  </si>
  <si>
    <t>Data Values</t>
  </si>
  <si>
    <t>LCLr</t>
  </si>
  <si>
    <t>Class</t>
  </si>
  <si>
    <t>XGoUP</t>
  </si>
  <si>
    <t>XAcumUP</t>
  </si>
  <si>
    <t>XAcumDw</t>
  </si>
  <si>
    <t>XMaxUP</t>
  </si>
  <si>
    <t>XMaxDown</t>
  </si>
  <si>
    <t>XHMUps</t>
  </si>
  <si>
    <t>XHMDws</t>
  </si>
  <si>
    <t>RGoUP</t>
  </si>
  <si>
    <t>RAcumUP</t>
  </si>
  <si>
    <t>RAcumDw</t>
  </si>
  <si>
    <t>RMaxUP</t>
  </si>
  <si>
    <t>RMaxDown</t>
  </si>
  <si>
    <t>RHMUps</t>
  </si>
  <si>
    <t>RHMDws</t>
  </si>
  <si>
    <t>sample #</t>
  </si>
  <si>
    <t>Above UCLx</t>
  </si>
  <si>
    <t>Below LCLx</t>
  </si>
  <si>
    <t>Above UCLr</t>
  </si>
  <si>
    <t>Below LCLr</t>
  </si>
  <si>
    <t>XAbove</t>
  </si>
  <si>
    <t>XBelow</t>
  </si>
  <si>
    <t>RAbove</t>
  </si>
  <si>
    <t>RBelow</t>
  </si>
  <si>
    <t>XACounter</t>
  </si>
  <si>
    <t>XBCounter</t>
  </si>
  <si>
    <t>RACounter</t>
  </si>
  <si>
    <t>Number of readings</t>
  </si>
  <si>
    <t>RBCounter</t>
  </si>
  <si>
    <t>Lower spec limit (LSL)</t>
  </si>
  <si>
    <t>Nominal</t>
  </si>
  <si>
    <t>MaxXA</t>
  </si>
  <si>
    <t xml:space="preserve">  consecutive data points above average X</t>
  </si>
  <si>
    <t>Upper spec limit (USL)</t>
  </si>
  <si>
    <t>MaxXB</t>
  </si>
  <si>
    <t xml:space="preserve">  consecutive data points below average X</t>
  </si>
  <si>
    <t>Total sum</t>
  </si>
  <si>
    <t>MaxRA</t>
  </si>
  <si>
    <t xml:space="preserve">  consecutive data points above average R</t>
  </si>
  <si>
    <t>MaxRB</t>
  </si>
  <si>
    <t xml:space="preserve">  consecutive data points below average R</t>
  </si>
  <si>
    <t>HISTOGRAM WITH LIMITS</t>
  </si>
  <si>
    <t>Maximum</t>
  </si>
  <si>
    <t>Minimum</t>
  </si>
  <si>
    <t>Readings below LSL</t>
  </si>
  <si>
    <t>Readings above USL</t>
  </si>
  <si>
    <t>Average Range (R)</t>
  </si>
  <si>
    <t>n =</t>
  </si>
  <si>
    <t>Std Deviation (n-1)</t>
  </si>
  <si>
    <t>Std Deviation (n)</t>
  </si>
  <si>
    <t>Variance (n-1)</t>
  </si>
  <si>
    <t>Variance (n)</t>
  </si>
  <si>
    <t>FINAL CALL</t>
  </si>
  <si>
    <t>ADDING</t>
  </si>
  <si>
    <t>Average</t>
  </si>
  <si>
    <t>Range</t>
  </si>
  <si>
    <t>Subgroup chk</t>
  </si>
  <si>
    <t>PLUS:</t>
  </si>
  <si>
    <t>SPEC.:</t>
  </si>
  <si>
    <t>MINUS:</t>
  </si>
  <si>
    <t>Readings/Subgroup</t>
  </si>
  <si>
    <t>L7</t>
  </si>
  <si>
    <t>Q7</t>
  </si>
  <si>
    <t xml:space="preserve">Excessive process variation (Pp &lt; 1.67) - </t>
  </si>
  <si>
    <t xml:space="preserve">   </t>
  </si>
  <si>
    <t>NORMALITY TEST</t>
  </si>
  <si>
    <t>d2</t>
  </si>
  <si>
    <t>D2 Value</t>
  </si>
  <si>
    <t>Performance ratio (Pr)</t>
  </si>
  <si>
    <t>Capability ratio (Cr)</t>
  </si>
  <si>
    <t>Upper capability index (Cpu)</t>
  </si>
  <si>
    <t>Lower capability index (Cpl)</t>
  </si>
  <si>
    <t>X - MR</t>
  </si>
  <si>
    <t>MEDIAN</t>
  </si>
  <si>
    <t>Xbar &amp; R</t>
  </si>
  <si>
    <t>LCL=</t>
  </si>
  <si>
    <t>UCL=</t>
  </si>
  <si>
    <t>Xbar &amp; R Chart</t>
  </si>
  <si>
    <t>e2</t>
  </si>
  <si>
    <t>X</t>
  </si>
  <si>
    <t>Charts for Individuals</t>
  </si>
  <si>
    <t>Median Charts</t>
  </si>
  <si>
    <t>A2</t>
  </si>
  <si>
    <t>FINAL</t>
  </si>
  <si>
    <t xml:space="preserve">Excessive process variation (Pp &lt; 1.67 and Cp &lt; 1.33) - </t>
  </si>
  <si>
    <t>Identify, evaluate and, wherever possible, eliminate special causes of variation prior to PPAP submission.</t>
  </si>
  <si>
    <t>The process does not currently meet the acceptance criteria.</t>
  </si>
  <si>
    <t>With out of control limits (Ave. chart)</t>
  </si>
  <si>
    <t>With out of control limits (R chart)</t>
  </si>
  <si>
    <t>The process currently meets customer requirements.</t>
  </si>
  <si>
    <t>Extend Control Limits and proceed to Cpk Study.</t>
  </si>
  <si>
    <t>Process must be stable before Cpk can be computed.</t>
  </si>
  <si>
    <t xml:space="preserve">Process not centered / capable (1.33 &lt;= Ppk &lt; 1.67 and Cpk &lt; 1.33) - </t>
  </si>
  <si>
    <t xml:space="preserve">Process not centered / capable (1.33 &lt;= Ppk &lt; 1.67) - </t>
  </si>
  <si>
    <t xml:space="preserve">Process produced </t>
  </si>
  <si>
    <t xml:space="preserve">Process could generate </t>
  </si>
  <si>
    <t xml:space="preserve">% defects. </t>
  </si>
  <si>
    <t xml:space="preserve">and </t>
  </si>
  <si>
    <t>7 data points increasing trend (Ave. chart)</t>
  </si>
  <si>
    <t>7 data points decreasing trend (Ave. chart)</t>
  </si>
  <si>
    <t>7 data points increasing trend (Range chart)</t>
  </si>
  <si>
    <t>7 data points decreasing trend (Range chart)</t>
  </si>
  <si>
    <t>Inform Sales Account in-charge and contact customer for a review of the study results.</t>
  </si>
  <si>
    <t>For Ppk Study</t>
  </si>
  <si>
    <t>For Cpk Study</t>
  </si>
  <si>
    <t>Extended Control Limits</t>
  </si>
  <si>
    <t>UCLXxtnd</t>
  </si>
  <si>
    <t>AveXxtnd</t>
  </si>
  <si>
    <t>LCLXxtnd</t>
  </si>
  <si>
    <t>UCLRxtnd</t>
  </si>
  <si>
    <t>AveRxtnd</t>
  </si>
  <si>
    <t>LCLRxtnd</t>
  </si>
  <si>
    <t>Data Xxbar&amp;r</t>
  </si>
  <si>
    <t>Data Xindiv</t>
  </si>
  <si>
    <t>Data Xmedian</t>
  </si>
  <si>
    <t>To chart X:</t>
  </si>
  <si>
    <t>To chart R:</t>
  </si>
  <si>
    <t>Data R</t>
  </si>
  <si>
    <t>7 consecutive points above central line. (Ave. chart)</t>
  </si>
  <si>
    <t>7 consecutive points below central line. (Ave. chart)</t>
  </si>
  <si>
    <t>7 consecutive points above central line. (R chart)</t>
  </si>
  <si>
    <t>7 consecutive points below central line. (R chart)</t>
  </si>
  <si>
    <t>Issue Q.A.R. Identify and evaluate possible causes of variation prior to Cpk computation.</t>
  </si>
  <si>
    <t>MID(CELL("format",$C$38),2,1)+1</t>
  </si>
  <si>
    <t>IF(AA3=2,"N/A",STANDARDIZE(Y57,Y59,AB130))</t>
  </si>
  <si>
    <t>DATE/TIME</t>
  </si>
  <si>
    <t>IF(AA3=3,"N/A",STANDARDIZE(Y53,Y57,AB129))</t>
  </si>
  <si>
    <t>ROUND(STDEV(C43:AA43),AB$126)</t>
  </si>
  <si>
    <t>BF48</t>
  </si>
  <si>
    <t>BF49</t>
  </si>
  <si>
    <t>BF55</t>
  </si>
  <si>
    <t>BF56</t>
  </si>
  <si>
    <t>BI34</t>
  </si>
  <si>
    <t>BI35</t>
  </si>
  <si>
    <t>BI36</t>
  </si>
  <si>
    <t>BI37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</si>
  <si>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</si>
  <si>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</si>
  <si>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</si>
  <si>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</si>
  <si>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</si>
  <si>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</si>
  <si>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</si>
  <si>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</si>
  <si>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</si>
  <si>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</si>
  <si>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</si>
  <si>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r>
      <t xml:space="preserve">Average readings ( </t>
    </r>
    <r>
      <rPr>
        <sz val="8"/>
        <color theme="1"/>
        <rFont val="Arial"/>
        <family val="2"/>
      </rPr>
      <t xml:space="preserve">X </t>
    </r>
    <r>
      <rPr>
        <sz val="10"/>
        <color theme="1"/>
        <rFont val="Arial"/>
        <family val="2"/>
      </rPr>
      <t>)</t>
    </r>
  </si>
  <si>
    <t>USL</t>
  </si>
  <si>
    <t>LSL</t>
  </si>
  <si>
    <t>SPEC</t>
  </si>
  <si>
    <t>Process Capability Index (Cpk)</t>
  </si>
  <si>
    <t>Capability Index(Cp)</t>
  </si>
  <si>
    <t>Performance Index (Pp)</t>
  </si>
  <si>
    <t>Process Performance Index (Ppk)</t>
  </si>
  <si>
    <t>Product</t>
  </si>
  <si>
    <t>Characteristic</t>
  </si>
  <si>
    <t>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</si>
</sst>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000"/>
    <numFmt numFmtId="167" formatCode="#,##0.000"/>
    <numFmt numFmtId="168" formatCode="0.000"/>
    <numFmt numFmtId="169" formatCode="0.00000"/>
    <numFmt numFmtId="170" formatCode="0.000000"/>
    <numFmt numFmtId="171" formatCode="mmmm\ d\,\ yyyy"/>
  </numFmts>
  <fonts count="28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.5"/>
      <color theme="1"/>
      <name val="Arial"/>
      <family val="2"/>
    </font>
    <font>
      <b/>
      <sz val="8.25"/>
      <color theme="1"/>
      <name val="Arial"/>
      <family val="2"/>
    </font>
    <font>
      <b/>
      <sz val="8.5"/>
      <color theme="1"/>
      <name val="Arial"/>
      <family val="2"/>
    </font>
    <font>
      <sz val="8.25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5"/>
      <color theme="1"/>
      <name val="Arial"/>
      <family val="2"/>
    </font>
    <font>
      <sz val="10"/>
      <color theme="0"/>
      <name val="Arial"/>
      <family val="2"/>
      <charset val="238"/>
    </font>
    <font>
      <b/>
      <sz val="8.5"/>
      <color theme="0"/>
      <name val="Arial"/>
      <family val="2"/>
    </font>
    <font>
      <b/>
      <sz val="8.25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4" tint="0.59999389629810485"/>
      <name val="Arial"/>
      <family val="2"/>
    </font>
    <font>
      <b/>
      <sz val="14"/>
      <color theme="1"/>
      <name val="Arial"/>
      <family val="2"/>
      <charset val="238"/>
    </font>
    <font>
      <b/>
      <sz val="14"/>
      <color theme="1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3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168" fontId="3" fillId="0" borderId="0" xfId="0" applyNumberFormat="1" applyFont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 shrinkToFit="1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locked="0"/>
    </xf>
    <xf numFmtId="168" fontId="2" fillId="0" borderId="0" xfId="0" applyNumberFormat="1" applyFont="1" applyBorder="1" applyAlignment="1" applyProtection="1">
      <alignment horizontal="center" shrinkToFit="1"/>
      <protection locked="0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Protection="1">
      <protection locked="0" hidden="1"/>
    </xf>
    <xf numFmtId="0" fontId="7" fillId="0" borderId="0" xfId="0" applyFont="1" applyProtection="1"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7" fillId="0" borderId="0" xfId="0" applyFont="1" applyFill="1" applyProtection="1">
      <protection locked="0" hidden="1"/>
    </xf>
    <xf numFmtId="0" fontId="12" fillId="3" borderId="31" xfId="0" applyFont="1" applyFill="1" applyBorder="1" applyAlignment="1" applyProtection="1">
      <alignment horizontal="left" vertical="center"/>
      <protection hidden="1"/>
    </xf>
    <xf numFmtId="0" fontId="13" fillId="3" borderId="32" xfId="0" applyFont="1" applyFill="1" applyBorder="1" applyAlignment="1" applyProtection="1">
      <alignment horizontal="left" shrinkToFit="1"/>
      <protection hidden="1"/>
    </xf>
    <xf numFmtId="0" fontId="13" fillId="3" borderId="32" xfId="0" applyFont="1" applyFill="1" applyBorder="1" applyAlignment="1" applyProtection="1">
      <alignment horizontal="left"/>
      <protection hidden="1"/>
    </xf>
    <xf numFmtId="0" fontId="7" fillId="0" borderId="34" xfId="0" applyFont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3" fillId="3" borderId="33" xfId="0" applyFont="1" applyFill="1" applyBorder="1" applyAlignment="1" applyProtection="1">
      <alignment horizontal="left"/>
      <protection hidden="1"/>
    </xf>
    <xf numFmtId="0" fontId="7" fillId="0" borderId="34" xfId="0" applyFont="1" applyFill="1" applyBorder="1" applyAlignment="1" applyProtection="1">
      <alignment horizontal="center"/>
      <protection hidden="1"/>
    </xf>
    <xf numFmtId="0" fontId="7" fillId="0" borderId="22" xfId="0" applyFont="1" applyBorder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22" xfId="0" applyFont="1" applyFill="1" applyBorder="1" applyAlignment="1" applyProtection="1">
      <alignment horizontal="center"/>
      <protection hidden="1"/>
    </xf>
    <xf numFmtId="0" fontId="6" fillId="0" borderId="35" xfId="0" applyFont="1" applyFill="1" applyBorder="1" applyAlignment="1" applyProtection="1">
      <alignment horizontal="center"/>
      <protection hidden="1"/>
    </xf>
    <xf numFmtId="0" fontId="6" fillId="0" borderId="34" xfId="0" applyFont="1" applyFill="1" applyBorder="1" applyAlignment="1" applyProtection="1">
      <alignment horizontal="center"/>
      <protection hidden="1"/>
    </xf>
    <xf numFmtId="0" fontId="7" fillId="0" borderId="36" xfId="0" applyFont="1" applyFill="1" applyBorder="1" applyAlignment="1" applyProtection="1">
      <alignment horizontal="center"/>
      <protection hidden="1"/>
    </xf>
    <xf numFmtId="0" fontId="6" fillId="0" borderId="30" xfId="0" applyFont="1" applyFill="1" applyBorder="1" applyAlignment="1" applyProtection="1">
      <alignment horizontal="center"/>
      <protection hidden="1"/>
    </xf>
    <xf numFmtId="168" fontId="6" fillId="0" borderId="34" xfId="0" applyNumberFormat="1" applyFont="1" applyFill="1" applyBorder="1" applyAlignment="1" applyProtection="1">
      <alignment horizontal="center"/>
      <protection hidden="1"/>
    </xf>
    <xf numFmtId="168" fontId="7" fillId="0" borderId="34" xfId="0" applyNumberFormat="1" applyFont="1" applyFill="1" applyBorder="1" applyAlignment="1" applyProtection="1">
      <alignment horizontal="center"/>
      <protection hidden="1"/>
    </xf>
    <xf numFmtId="168" fontId="7" fillId="0" borderId="35" xfId="0" applyNumberFormat="1" applyFont="1" applyBorder="1" applyAlignment="1" applyProtection="1">
      <alignment horizontal="center"/>
      <protection hidden="1"/>
    </xf>
    <xf numFmtId="168" fontId="6" fillId="0" borderId="30" xfId="0" applyNumberFormat="1" applyFont="1" applyFill="1" applyBorder="1" applyAlignment="1" applyProtection="1">
      <alignment horizontal="center"/>
      <protection hidden="1"/>
    </xf>
    <xf numFmtId="1" fontId="7" fillId="0" borderId="34" xfId="0" applyNumberFormat="1" applyFont="1" applyBorder="1" applyAlignment="1" applyProtection="1">
      <alignment horizontal="center"/>
      <protection hidden="1"/>
    </xf>
    <xf numFmtId="168" fontId="7" fillId="0" borderId="34" xfId="0" applyNumberFormat="1" applyFont="1" applyBorder="1" applyAlignment="1" applyProtection="1">
      <alignment horizontal="center"/>
      <protection hidden="1"/>
    </xf>
    <xf numFmtId="168" fontId="7" fillId="0" borderId="30" xfId="0" applyNumberFormat="1" applyFont="1" applyBorder="1" applyAlignment="1" applyProtection="1">
      <alignment horizontal="center"/>
      <protection hidden="1"/>
    </xf>
    <xf numFmtId="0" fontId="10" fillId="3" borderId="11" xfId="0" applyFont="1" applyFill="1" applyBorder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Protection="1">
      <protection hidden="1"/>
    </xf>
    <xf numFmtId="0" fontId="6" fillId="3" borderId="12" xfId="0" applyFont="1" applyFill="1" applyBorder="1" applyProtection="1">
      <protection hidden="1"/>
    </xf>
    <xf numFmtId="0" fontId="6" fillId="3" borderId="11" xfId="0" applyFont="1" applyFill="1" applyBorder="1" applyProtection="1"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14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indent="4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Fill="1" applyBorder="1" applyAlignment="1" applyProtection="1">
      <alignment horizontal="right" shrinkToFit="1"/>
      <protection hidden="1"/>
    </xf>
    <xf numFmtId="0" fontId="7" fillId="0" borderId="0" xfId="0" applyFont="1" applyFill="1" applyBorder="1" applyAlignment="1" applyProtection="1">
      <alignment horizontal="right" shrinkToFit="1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38" xfId="0" quotePrefix="1" applyFont="1" applyBorder="1" applyAlignment="1" applyProtection="1">
      <alignment horizontal="center"/>
      <protection hidden="1"/>
    </xf>
    <xf numFmtId="0" fontId="15" fillId="0" borderId="40" xfId="0" quotePrefix="1" applyFont="1" applyBorder="1" applyAlignment="1" applyProtection="1">
      <alignment horizontal="center" shrinkToFit="1"/>
      <protection locked="0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166" fontId="6" fillId="0" borderId="4" xfId="0" applyNumberFormat="1" applyFont="1" applyBorder="1" applyAlignment="1" applyProtection="1">
      <alignment horizontal="center" shrinkToFit="1"/>
      <protection hidden="1"/>
    </xf>
    <xf numFmtId="166" fontId="6" fillId="0" borderId="5" xfId="0" applyNumberFormat="1" applyFont="1" applyBorder="1" applyAlignment="1" applyProtection="1">
      <alignment horizontal="center" shrinkToFit="1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7" fillId="3" borderId="18" xfId="0" applyFont="1" applyFill="1" applyBorder="1" applyProtection="1">
      <protection hidden="1"/>
    </xf>
    <xf numFmtId="0" fontId="7" fillId="3" borderId="13" xfId="0" applyFont="1" applyFill="1" applyBorder="1" applyProtection="1">
      <protection hidden="1"/>
    </xf>
    <xf numFmtId="0" fontId="7" fillId="3" borderId="25" xfId="0" applyFont="1" applyFill="1" applyBorder="1" applyProtection="1">
      <protection hidden="1"/>
    </xf>
    <xf numFmtId="0" fontId="7" fillId="3" borderId="21" xfId="0" applyFont="1" applyFill="1" applyBorder="1" applyProtection="1">
      <protection hidden="1"/>
    </xf>
    <xf numFmtId="0" fontId="7" fillId="3" borderId="24" xfId="0" applyFont="1" applyFill="1" applyBorder="1" applyProtection="1">
      <protection hidden="1"/>
    </xf>
    <xf numFmtId="0" fontId="7" fillId="3" borderId="30" xfId="0" applyFont="1" applyFill="1" applyBorder="1" applyProtection="1">
      <protection hidden="1"/>
    </xf>
    <xf numFmtId="168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8" fontId="15" fillId="0" borderId="0" xfId="0" applyNumberFormat="1" applyFont="1" applyBorder="1" applyAlignment="1" applyProtection="1">
      <alignment horizontal="center"/>
      <protection hidden="1"/>
    </xf>
    <xf numFmtId="0" fontId="7" fillId="3" borderId="24" xfId="0" applyFont="1" applyFill="1" applyBorder="1" applyAlignment="1" applyProtection="1">
      <alignment horizontal="right"/>
      <protection hidden="1"/>
    </xf>
    <xf numFmtId="0" fontId="7" fillId="3" borderId="24" xfId="0" applyFont="1" applyFill="1" applyBorder="1" applyAlignment="1" applyProtection="1">
      <alignment horizontal="left"/>
      <protection hidden="1"/>
    </xf>
    <xf numFmtId="0" fontId="15" fillId="3" borderId="24" xfId="0" applyFont="1" applyFill="1" applyBorder="1" applyAlignment="1" applyProtection="1">
      <alignment horizontal="left" vertical="center"/>
      <protection hidden="1"/>
    </xf>
    <xf numFmtId="0" fontId="15" fillId="3" borderId="30" xfId="0" applyFont="1" applyFill="1" applyBorder="1" applyAlignment="1" applyProtection="1">
      <alignment horizontal="left" vertical="center"/>
      <protection hidden="1"/>
    </xf>
    <xf numFmtId="0" fontId="6" fillId="0" borderId="3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13" fillId="0" borderId="3" xfId="0" applyFont="1" applyBorder="1" applyAlignment="1" applyProtection="1">
      <alignment horizontal="left" indent="1"/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7" fillId="0" borderId="0" xfId="0" applyFont="1" applyBorder="1" applyProtection="1">
      <protection hidden="1"/>
    </xf>
    <xf numFmtId="170" fontId="7" fillId="0" borderId="0" xfId="0" applyNumberFormat="1" applyFont="1" applyBorder="1" applyAlignment="1" applyProtection="1">
      <alignment horizontal="left" vertical="center" shrinkToFit="1"/>
      <protection hidden="1"/>
    </xf>
    <xf numFmtId="169" fontId="7" fillId="0" borderId="0" xfId="0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center" shrinkToFit="1"/>
      <protection hidden="1"/>
    </xf>
    <xf numFmtId="168" fontId="7" fillId="0" borderId="0" xfId="0" applyNumberFormat="1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left" vertical="center" shrinkToFit="1"/>
      <protection hidden="1"/>
    </xf>
    <xf numFmtId="168" fontId="7" fillId="0" borderId="0" xfId="0" applyNumberFormat="1" applyFont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quotePrefix="1" applyFont="1" applyBorder="1" applyAlignment="1" applyProtection="1">
      <alignment horizontal="center" vertical="center" shrinkToFit="1"/>
      <protection hidden="1"/>
    </xf>
    <xf numFmtId="1" fontId="7" fillId="0" borderId="0" xfId="0" applyNumberFormat="1" applyFont="1" applyBorder="1" applyAlignment="1" applyProtection="1">
      <alignment horizontal="left" vertical="center" shrinkToFit="1"/>
      <protection hidden="1"/>
    </xf>
    <xf numFmtId="0" fontId="18" fillId="0" borderId="0" xfId="0" applyFont="1" applyProtection="1"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14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Protection="1">
      <protection hidden="1"/>
    </xf>
    <xf numFmtId="0" fontId="15" fillId="6" borderId="0" xfId="0" applyFont="1" applyFill="1" applyBorder="1" applyAlignment="1" applyProtection="1">
      <alignment horizontal="center" vertical="center"/>
      <protection hidden="1"/>
    </xf>
    <xf numFmtId="0" fontId="14" fillId="6" borderId="0" xfId="0" applyFont="1" applyFill="1" applyBorder="1" applyAlignment="1" applyProtection="1">
      <alignment horizontal="left"/>
      <protection hidden="1"/>
    </xf>
    <xf numFmtId="14" fontId="14" fillId="6" borderId="0" xfId="0" applyNumberFormat="1" applyFont="1" applyFill="1" applyBorder="1" applyAlignment="1" applyProtection="1">
      <alignment horizontal="left"/>
      <protection hidden="1"/>
    </xf>
    <xf numFmtId="0" fontId="14" fillId="6" borderId="0" xfId="0" applyFont="1" applyFill="1" applyBorder="1" applyAlignment="1" applyProtection="1">
      <alignment horizontal="left" indent="4"/>
      <protection hidden="1"/>
    </xf>
    <xf numFmtId="0" fontId="5" fillId="6" borderId="0" xfId="0" applyFont="1" applyFill="1" applyBorder="1" applyAlignment="1" applyProtection="1">
      <alignment horizontal="right" vertical="center"/>
      <protection hidden="1"/>
    </xf>
    <xf numFmtId="0" fontId="15" fillId="0" borderId="50" xfId="0" quotePrefix="1" applyFont="1" applyBorder="1" applyAlignment="1" applyProtection="1">
      <alignment horizontal="center"/>
      <protection hidden="1"/>
    </xf>
    <xf numFmtId="0" fontId="15" fillId="0" borderId="11" xfId="0" quotePrefix="1" applyFont="1" applyBorder="1" applyAlignment="1" applyProtection="1">
      <alignment horizontal="center" shrinkToFit="1"/>
      <protection locked="0"/>
    </xf>
    <xf numFmtId="0" fontId="11" fillId="6" borderId="0" xfId="0" applyFont="1" applyFill="1" applyBorder="1" applyAlignment="1" applyProtection="1">
      <alignment horizontal="right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right"/>
      <protection hidden="1"/>
    </xf>
    <xf numFmtId="0" fontId="15" fillId="6" borderId="0" xfId="0" quotePrefix="1" applyFont="1" applyFill="1" applyBorder="1" applyAlignment="1" applyProtection="1">
      <alignment horizontal="center"/>
      <protection hidden="1"/>
    </xf>
    <xf numFmtId="0" fontId="15" fillId="6" borderId="0" xfId="0" quotePrefix="1" applyFont="1" applyFill="1" applyBorder="1" applyAlignment="1" applyProtection="1">
      <alignment horizontal="center" shrinkToFit="1"/>
      <protection locked="0"/>
    </xf>
    <xf numFmtId="166" fontId="6" fillId="6" borderId="0" xfId="0" applyNumberFormat="1" applyFont="1" applyFill="1" applyBorder="1" applyAlignment="1" applyProtection="1">
      <alignment horizontal="center" shrinkToFit="1"/>
      <protection hidden="1"/>
    </xf>
    <xf numFmtId="166" fontId="19" fillId="0" borderId="0" xfId="0" applyNumberFormat="1" applyFont="1" applyFill="1" applyBorder="1" applyAlignment="1" applyProtection="1">
      <alignment horizontal="center" shrinkToFit="1"/>
      <protection locked="0"/>
    </xf>
    <xf numFmtId="166" fontId="19" fillId="0" borderId="0" xfId="0" applyNumberFormat="1" applyFont="1" applyFill="1" applyBorder="1" applyAlignment="1" applyProtection="1">
      <alignment horizontal="center" shrinkToFit="1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0" fillId="6" borderId="0" xfId="0" applyFont="1" applyFill="1" applyBorder="1" applyAlignment="1" applyProtection="1">
      <protection hidden="1"/>
    </xf>
    <xf numFmtId="0" fontId="13" fillId="6" borderId="0" xfId="0" applyFont="1" applyFill="1" applyBorder="1" applyAlignment="1" applyProtection="1">
      <alignment vertical="center"/>
      <protection hidden="1"/>
    </xf>
    <xf numFmtId="0" fontId="13" fillId="6" borderId="0" xfId="0" applyFont="1" applyFill="1" applyBorder="1" applyAlignment="1" applyProtection="1"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9" fillId="6" borderId="0" xfId="0" applyFont="1" applyFill="1" applyBorder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protection hidden="1"/>
    </xf>
    <xf numFmtId="168" fontId="12" fillId="6" borderId="0" xfId="0" applyNumberFormat="1" applyFont="1" applyFill="1" applyBorder="1" applyAlignment="1" applyProtection="1">
      <protection hidden="1"/>
    </xf>
    <xf numFmtId="0" fontId="6" fillId="6" borderId="0" xfId="0" applyFont="1" applyFill="1" applyBorder="1" applyAlignment="1" applyProtection="1">
      <protection hidden="1"/>
    </xf>
    <xf numFmtId="168" fontId="13" fillId="6" borderId="0" xfId="0" applyNumberFormat="1" applyFont="1" applyFill="1" applyBorder="1" applyAlignment="1" applyProtection="1">
      <alignment vertical="center"/>
      <protection hidden="1"/>
    </xf>
    <xf numFmtId="0" fontId="15" fillId="6" borderId="0" xfId="0" applyFont="1" applyFill="1" applyBorder="1" applyAlignment="1" applyProtection="1">
      <protection hidden="1"/>
    </xf>
    <xf numFmtId="0" fontId="2" fillId="0" borderId="26" xfId="0" applyFont="1" applyBorder="1" applyProtection="1">
      <protection hidden="1"/>
    </xf>
    <xf numFmtId="0" fontId="2" fillId="0" borderId="53" xfId="0" applyFont="1" applyBorder="1" applyProtection="1">
      <protection locked="0"/>
    </xf>
    <xf numFmtId="0" fontId="3" fillId="0" borderId="53" xfId="0" applyFont="1" applyBorder="1" applyProtection="1">
      <protection hidden="1"/>
    </xf>
    <xf numFmtId="0" fontId="2" fillId="0" borderId="53" xfId="0" applyFont="1" applyBorder="1" applyProtection="1">
      <protection hidden="1"/>
    </xf>
    <xf numFmtId="0" fontId="7" fillId="0" borderId="53" xfId="0" applyFont="1" applyFill="1" applyBorder="1" applyProtection="1">
      <protection hidden="1"/>
    </xf>
    <xf numFmtId="0" fontId="7" fillId="0" borderId="53" xfId="0" applyFont="1" applyBorder="1" applyProtection="1">
      <protection hidden="1"/>
    </xf>
    <xf numFmtId="0" fontId="7" fillId="0" borderId="4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3" xfId="0" applyFont="1" applyBorder="1" applyProtection="1">
      <protection hidden="1"/>
    </xf>
    <xf numFmtId="10" fontId="17" fillId="0" borderId="0" xfId="0" applyNumberFormat="1" applyFont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alignment horizontal="center"/>
      <protection locked="0"/>
    </xf>
    <xf numFmtId="168" fontId="7" fillId="0" borderId="0" xfId="0" applyNumberFormat="1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locked="0"/>
    </xf>
    <xf numFmtId="0" fontId="3" fillId="0" borderId="8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7" fillId="0" borderId="26" xfId="0" applyFont="1" applyFill="1" applyBorder="1" applyProtection="1">
      <protection hidden="1"/>
    </xf>
    <xf numFmtId="0" fontId="9" fillId="0" borderId="53" xfId="0" applyFont="1" applyBorder="1" applyProtection="1">
      <protection hidden="1"/>
    </xf>
    <xf numFmtId="0" fontId="7" fillId="0" borderId="3" xfId="0" applyFont="1" applyFill="1" applyBorder="1" applyProtection="1">
      <protection locked="0" hidden="1"/>
    </xf>
    <xf numFmtId="0" fontId="9" fillId="0" borderId="0" xfId="0" applyFont="1" applyBorder="1" applyProtection="1"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shrinkToFit="1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6" xfId="0" applyFont="1" applyFill="1" applyBorder="1" applyProtection="1"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Protection="1">
      <protection hidden="1"/>
    </xf>
    <xf numFmtId="168" fontId="7" fillId="0" borderId="0" xfId="0" applyNumberFormat="1" applyFont="1" applyFill="1" applyBorder="1" applyAlignment="1" applyProtection="1">
      <protection hidden="1"/>
    </xf>
    <xf numFmtId="166" fontId="7" fillId="0" borderId="0" xfId="0" applyNumberFormat="1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/>
    <xf numFmtId="0" fontId="15" fillId="0" borderId="3" xfId="0" applyFont="1" applyFill="1" applyBorder="1" applyAlignment="1" applyProtection="1">
      <alignment horizontal="center"/>
      <protection hidden="1"/>
    </xf>
    <xf numFmtId="0" fontId="15" fillId="0" borderId="3" xfId="0" quotePrefix="1" applyFont="1" applyFill="1" applyBorder="1" applyAlignment="1" applyProtection="1">
      <alignment horizontal="center"/>
      <protection hidden="1"/>
    </xf>
    <xf numFmtId="0" fontId="15" fillId="0" borderId="3" xfId="0" quotePrefix="1" applyFont="1" applyFill="1" applyBorder="1" applyAlignment="1" applyProtection="1">
      <alignment horizontal="center" shrinkToFit="1"/>
      <protection locked="0"/>
    </xf>
    <xf numFmtId="166" fontId="7" fillId="0" borderId="3" xfId="0" applyNumberFormat="1" applyFont="1" applyFill="1" applyBorder="1" applyAlignment="1" applyProtection="1">
      <alignment horizontal="center" shrinkToFit="1"/>
      <protection locked="0"/>
    </xf>
    <xf numFmtId="166" fontId="7" fillId="0" borderId="3" xfId="0" applyNumberFormat="1" applyFont="1" applyFill="1" applyBorder="1" applyAlignment="1" applyProtection="1">
      <alignment horizontal="center" shrinkToFit="1"/>
      <protection hidden="1"/>
    </xf>
    <xf numFmtId="0" fontId="7" fillId="0" borderId="6" xfId="0" applyFont="1" applyFill="1" applyBorder="1" applyAlignment="1" applyProtection="1">
      <alignment horizontal="right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166" fontId="7" fillId="0" borderId="0" xfId="0" applyNumberFormat="1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7" fillId="0" borderId="0" xfId="0" quotePrefix="1" applyFont="1" applyFill="1" applyBorder="1" applyAlignment="1" applyProtection="1">
      <protection hidden="1"/>
    </xf>
    <xf numFmtId="0" fontId="7" fillId="0" borderId="3" xfId="0" applyFont="1" applyFill="1" applyBorder="1" applyAlignment="1" applyProtection="1">
      <protection hidden="1"/>
    </xf>
    <xf numFmtId="0" fontId="7" fillId="0" borderId="7" xfId="0" applyFont="1" applyFill="1" applyBorder="1" applyProtection="1">
      <protection hidden="1"/>
    </xf>
    <xf numFmtId="0" fontId="7" fillId="0" borderId="8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2" fillId="0" borderId="53" xfId="0" applyFont="1" applyBorder="1" applyAlignment="1" applyProtection="1">
      <alignment horizontal="center" shrinkToFit="1"/>
      <protection locked="0"/>
    </xf>
    <xf numFmtId="0" fontId="3" fillId="0" borderId="53" xfId="0" applyFont="1" applyBorder="1" applyAlignment="1" applyProtection="1">
      <alignment horizontal="center" shrinkToFit="1"/>
      <protection hidden="1"/>
    </xf>
    <xf numFmtId="0" fontId="3" fillId="0" borderId="53" xfId="0" applyFont="1" applyBorder="1" applyAlignment="1" applyProtection="1">
      <alignment horizontal="center"/>
      <protection locked="0" hidden="1"/>
    </xf>
    <xf numFmtId="0" fontId="2" fillId="0" borderId="42" xfId="0" applyFont="1" applyBorder="1" applyProtection="1">
      <protection hidden="1"/>
    </xf>
    <xf numFmtId="0" fontId="4" fillId="0" borderId="0" xfId="0" applyFont="1" applyBorder="1" applyProtection="1">
      <protection locked="0" hidden="1"/>
    </xf>
    <xf numFmtId="0" fontId="3" fillId="0" borderId="0" xfId="0" applyFont="1" applyBorder="1" applyProtection="1">
      <protection locked="0" hidden="1"/>
    </xf>
    <xf numFmtId="2" fontId="6" fillId="0" borderId="34" xfId="0" applyNumberFormat="1" applyFont="1" applyBorder="1" applyAlignment="1">
      <alignment horizontal="center"/>
    </xf>
    <xf numFmtId="0" fontId="6" fillId="0" borderId="26" xfId="0" applyFont="1" applyBorder="1" applyProtection="1">
      <protection hidden="1"/>
    </xf>
    <xf numFmtId="0" fontId="6" fillId="0" borderId="53" xfId="0" applyFont="1" applyBorder="1" applyProtection="1">
      <protection hidden="1"/>
    </xf>
    <xf numFmtId="2" fontId="7" fillId="0" borderId="0" xfId="0" applyNumberFormat="1" applyFont="1" applyBorder="1" applyAlignment="1" applyProtection="1">
      <alignment horizontal="left" vertical="center" shrinkToFit="1"/>
      <protection hidden="1"/>
    </xf>
    <xf numFmtId="2" fontId="7" fillId="0" borderId="0" xfId="0" applyNumberFormat="1" applyFont="1" applyFill="1" applyBorder="1" applyAlignment="1" applyProtection="1">
      <protection hidden="1"/>
    </xf>
    <xf numFmtId="2" fontId="6" fillId="0" borderId="4" xfId="0" applyNumberFormat="1" applyFont="1" applyBorder="1" applyAlignment="1" applyProtection="1">
      <alignment horizontal="center" shrinkToFit="1"/>
      <protection hidden="1"/>
    </xf>
    <xf numFmtId="2" fontId="6" fillId="0" borderId="60" xfId="0" applyNumberFormat="1" applyFont="1" applyBorder="1" applyAlignment="1" applyProtection="1">
      <alignment horizontal="center" shrinkToFit="1"/>
      <protection hidden="1"/>
    </xf>
    <xf numFmtId="2" fontId="6" fillId="0" borderId="5" xfId="0" applyNumberFormat="1" applyFont="1" applyBorder="1" applyAlignment="1" applyProtection="1">
      <alignment horizontal="center" shrinkToFit="1"/>
      <protection hidden="1"/>
    </xf>
    <xf numFmtId="2" fontId="6" fillId="0" borderId="61" xfId="0" applyNumberFormat="1" applyFont="1" applyBorder="1" applyAlignment="1" applyProtection="1">
      <alignment horizontal="center" shrinkToFit="1"/>
      <protection hidden="1"/>
    </xf>
    <xf numFmtId="2" fontId="13" fillId="4" borderId="27" xfId="0" applyNumberFormat="1" applyFont="1" applyFill="1" applyBorder="1" applyAlignment="1" applyProtection="1">
      <alignment horizontal="center" shrinkToFit="1"/>
      <protection hidden="1"/>
    </xf>
    <xf numFmtId="168" fontId="7" fillId="0" borderId="26" xfId="0" applyNumberFormat="1" applyFont="1" applyFill="1" applyBorder="1" applyAlignment="1" applyProtection="1">
      <protection hidden="1"/>
    </xf>
    <xf numFmtId="168" fontId="7" fillId="0" borderId="53" xfId="0" applyNumberFormat="1" applyFont="1" applyFill="1" applyBorder="1" applyAlignment="1" applyProtection="1">
      <protection hidden="1"/>
    </xf>
    <xf numFmtId="168" fontId="7" fillId="0" borderId="3" xfId="0" applyNumberFormat="1" applyFont="1" applyFill="1" applyBorder="1" applyAlignment="1" applyProtection="1">
      <protection hidden="1"/>
    </xf>
    <xf numFmtId="166" fontId="7" fillId="0" borderId="7" xfId="0" applyNumberFormat="1" applyFont="1" applyBorder="1" applyProtection="1">
      <protection hidden="1"/>
    </xf>
    <xf numFmtId="166" fontId="7" fillId="0" borderId="8" xfId="0" applyNumberFormat="1" applyFont="1" applyBorder="1" applyProtection="1">
      <protection hidden="1"/>
    </xf>
    <xf numFmtId="0" fontId="7" fillId="0" borderId="26" xfId="0" applyFont="1" applyFill="1" applyBorder="1" applyAlignment="1" applyProtection="1">
      <alignment horizontal="right" shrinkToFit="1"/>
      <protection hidden="1"/>
    </xf>
    <xf numFmtId="0" fontId="7" fillId="0" borderId="53" xfId="0" applyFont="1" applyFill="1" applyBorder="1" applyAlignment="1" applyProtection="1">
      <alignment horizontal="right" shrinkToFit="1"/>
      <protection hidden="1"/>
    </xf>
    <xf numFmtId="0" fontId="7" fillId="0" borderId="3" xfId="0" applyFont="1" applyFill="1" applyBorder="1" applyAlignment="1" applyProtection="1">
      <alignment horizontal="right"/>
      <protection hidden="1"/>
    </xf>
    <xf numFmtId="0" fontId="7" fillId="0" borderId="7" xfId="0" applyFont="1" applyFill="1" applyBorder="1" applyAlignment="1" applyProtection="1">
      <alignment horizontal="right"/>
      <protection hidden="1"/>
    </xf>
    <xf numFmtId="0" fontId="7" fillId="0" borderId="8" xfId="0" applyFont="1" applyFill="1" applyBorder="1" applyAlignment="1" applyProtection="1">
      <alignment horizontal="right"/>
      <protection hidden="1"/>
    </xf>
    <xf numFmtId="2" fontId="7" fillId="0" borderId="26" xfId="0" applyNumberFormat="1" applyFont="1" applyFill="1" applyBorder="1" applyAlignment="1" applyProtection="1">
      <protection hidden="1"/>
    </xf>
    <xf numFmtId="2" fontId="7" fillId="0" borderId="53" xfId="0" applyNumberFormat="1" applyFont="1" applyFill="1" applyBorder="1" applyAlignment="1" applyProtection="1">
      <protection hidden="1"/>
    </xf>
    <xf numFmtId="2" fontId="7" fillId="0" borderId="3" xfId="0" applyNumberFormat="1" applyFont="1" applyFill="1" applyBorder="1" applyAlignment="1" applyProtection="1">
      <protection hidden="1"/>
    </xf>
    <xf numFmtId="2" fontId="7" fillId="0" borderId="7" xfId="0" applyNumberFormat="1" applyFont="1" applyFill="1" applyBorder="1" applyAlignment="1" applyProtection="1">
      <protection hidden="1"/>
    </xf>
    <xf numFmtId="2" fontId="7" fillId="0" borderId="8" xfId="0" applyNumberFormat="1" applyFont="1" applyFill="1" applyBorder="1" applyAlignment="1" applyProtection="1">
      <protection hidden="1"/>
    </xf>
    <xf numFmtId="0" fontId="15" fillId="0" borderId="34" xfId="0" quotePrefix="1" applyFont="1" applyBorder="1" applyAlignment="1" applyProtection="1">
      <alignment horizontal="center"/>
      <protection hidden="1"/>
    </xf>
    <xf numFmtId="0" fontId="15" fillId="0" borderId="34" xfId="0" quotePrefix="1" applyFont="1" applyBorder="1" applyAlignment="1" applyProtection="1">
      <alignment horizontal="center" shrinkToFit="1"/>
      <protection locked="0"/>
    </xf>
    <xf numFmtId="2" fontId="6" fillId="0" borderId="34" xfId="0" applyNumberFormat="1" applyFont="1" applyBorder="1" applyAlignment="1" applyProtection="1">
      <alignment horizontal="center" shrinkToFit="1"/>
      <protection hidden="1"/>
    </xf>
    <xf numFmtId="0" fontId="24" fillId="3" borderId="10" xfId="0" applyFont="1" applyFill="1" applyBorder="1" applyAlignment="1" applyProtection="1">
      <alignment horizontal="center"/>
      <protection hidden="1"/>
    </xf>
    <xf numFmtId="2" fontId="13" fillId="7" borderId="27" xfId="0" applyNumberFormat="1" applyFont="1" applyFill="1" applyBorder="1" applyAlignment="1" applyProtection="1">
      <alignment horizontal="center" shrinkToFit="1"/>
      <protection locked="0"/>
    </xf>
    <xf numFmtId="4" fontId="6" fillId="4" borderId="19" xfId="0" applyNumberFormat="1" applyFont="1" applyFill="1" applyBorder="1" applyAlignment="1" applyProtection="1">
      <alignment horizontal="centerContinuous"/>
      <protection hidden="1"/>
    </xf>
    <xf numFmtId="4" fontId="6" fillId="4" borderId="20" xfId="0" applyNumberFormat="1" applyFont="1" applyFill="1" applyBorder="1" applyAlignment="1" applyProtection="1">
      <alignment horizontal="centerContinuous"/>
      <protection hidden="1"/>
    </xf>
    <xf numFmtId="4" fontId="6" fillId="4" borderId="22" xfId="0" applyNumberFormat="1" applyFont="1" applyFill="1" applyBorder="1" applyAlignment="1" applyProtection="1">
      <alignment horizontal="centerContinuous"/>
      <protection hidden="1"/>
    </xf>
    <xf numFmtId="4" fontId="6" fillId="4" borderId="23" xfId="0" applyNumberFormat="1" applyFont="1" applyFill="1" applyBorder="1" applyAlignment="1" applyProtection="1">
      <alignment horizontal="centerContinuous"/>
      <protection hidden="1"/>
    </xf>
    <xf numFmtId="0" fontId="6" fillId="4" borderId="20" xfId="0" applyFont="1" applyFill="1" applyBorder="1" applyAlignment="1" applyProtection="1">
      <alignment horizontal="centerContinuous"/>
      <protection hidden="1"/>
    </xf>
    <xf numFmtId="0" fontId="6" fillId="4" borderId="23" xfId="0" applyFont="1" applyFill="1" applyBorder="1" applyAlignment="1" applyProtection="1">
      <alignment horizontal="centerContinuous"/>
      <protection hidden="1"/>
    </xf>
    <xf numFmtId="167" fontId="6" fillId="4" borderId="22" xfId="0" applyNumberFormat="1" applyFont="1" applyFill="1" applyBorder="1" applyAlignment="1" applyProtection="1">
      <alignment horizontal="centerContinuous"/>
      <protection hidden="1"/>
    </xf>
    <xf numFmtId="171" fontId="11" fillId="4" borderId="22" xfId="0" applyNumberFormat="1" applyFont="1" applyFill="1" applyBorder="1" applyAlignment="1" applyProtection="1">
      <alignment vertical="center" shrinkToFit="1"/>
      <protection locked="0"/>
    </xf>
    <xf numFmtId="171" fontId="11" fillId="4" borderId="24" xfId="0" applyNumberFormat="1" applyFont="1" applyFill="1" applyBorder="1" applyAlignment="1" applyProtection="1">
      <alignment vertical="center" shrinkToFit="1"/>
      <protection locked="0"/>
    </xf>
    <xf numFmtId="171" fontId="11" fillId="4" borderId="46" xfId="0" applyNumberFormat="1" applyFont="1" applyFill="1" applyBorder="1" applyAlignment="1" applyProtection="1">
      <alignment vertical="center" shrinkToFit="1"/>
      <protection locked="0"/>
    </xf>
    <xf numFmtId="171" fontId="11" fillId="4" borderId="47" xfId="0" applyNumberFormat="1" applyFont="1" applyFill="1" applyBorder="1" applyAlignment="1" applyProtection="1">
      <alignment vertical="center" shrinkToFit="1"/>
      <protection locked="0"/>
    </xf>
    <xf numFmtId="171" fontId="11" fillId="4" borderId="37" xfId="0" applyNumberFormat="1" applyFont="1" applyFill="1" applyBorder="1" applyAlignment="1" applyProtection="1">
      <alignment vertical="center" shrinkToFit="1"/>
      <protection locked="0"/>
    </xf>
    <xf numFmtId="171" fontId="11" fillId="4" borderId="28" xfId="0" applyNumberFormat="1" applyFont="1" applyFill="1" applyBorder="1" applyAlignment="1" applyProtection="1">
      <alignment vertical="center" shrinkToFit="1"/>
      <protection locked="0"/>
    </xf>
    <xf numFmtId="2" fontId="2" fillId="0" borderId="0" xfId="0" applyNumberFormat="1" applyFont="1" applyProtection="1">
      <protection hidden="1"/>
    </xf>
    <xf numFmtId="2" fontId="13" fillId="4" borderId="49" xfId="0" applyNumberFormat="1" applyFont="1" applyFill="1" applyBorder="1" applyAlignment="1" applyProtection="1">
      <alignment horizontal="center" shrinkToFit="1"/>
      <protection hidden="1"/>
    </xf>
    <xf numFmtId="2" fontId="13" fillId="4" borderId="63" xfId="0" applyNumberFormat="1" applyFont="1" applyFill="1" applyBorder="1" applyAlignment="1" applyProtection="1">
      <alignment horizontal="center" shrinkToFit="1"/>
      <protection hidden="1"/>
    </xf>
    <xf numFmtId="2" fontId="13" fillId="7" borderId="64" xfId="0" applyNumberFormat="1" applyFont="1" applyFill="1" applyBorder="1" applyAlignment="1" applyProtection="1">
      <alignment horizontal="center" shrinkToFit="1"/>
      <protection locked="0"/>
    </xf>
    <xf numFmtId="0" fontId="7" fillId="3" borderId="37" xfId="0" applyFont="1" applyFill="1" applyBorder="1" applyProtection="1">
      <protection hidden="1"/>
    </xf>
    <xf numFmtId="0" fontId="7" fillId="3" borderId="27" xfId="0" applyFont="1" applyFill="1" applyBorder="1" applyProtection="1">
      <protection hidden="1"/>
    </xf>
    <xf numFmtId="4" fontId="6" fillId="4" borderId="47" xfId="0" applyNumberFormat="1" applyFont="1" applyFill="1" applyBorder="1" applyAlignment="1" applyProtection="1">
      <alignment horizontal="centerContinuous"/>
      <protection hidden="1"/>
    </xf>
    <xf numFmtId="4" fontId="6" fillId="4" borderId="64" xfId="0" applyNumberFormat="1" applyFont="1" applyFill="1" applyBorder="1" applyAlignment="1" applyProtection="1">
      <alignment horizontal="centerContinuous"/>
      <protection hidden="1"/>
    </xf>
    <xf numFmtId="0" fontId="17" fillId="4" borderId="19" xfId="0" applyFont="1" applyFill="1" applyBorder="1" applyAlignment="1" applyProtection="1">
      <alignment vertical="center" shrinkToFit="1"/>
      <protection locked="0"/>
    </xf>
    <xf numFmtId="0" fontId="17" fillId="4" borderId="13" xfId="0" applyFont="1" applyFill="1" applyBorder="1" applyAlignment="1" applyProtection="1">
      <alignment vertical="center" shrinkToFit="1"/>
      <protection locked="0"/>
    </xf>
    <xf numFmtId="0" fontId="13" fillId="3" borderId="27" xfId="0" applyFont="1" applyFill="1" applyBorder="1" applyAlignment="1" applyProtection="1">
      <alignment horizontal="left" vertical="center" shrinkToFit="1"/>
      <protection hidden="1"/>
    </xf>
    <xf numFmtId="0" fontId="17" fillId="4" borderId="70" xfId="0" applyFont="1" applyFill="1" applyBorder="1" applyAlignment="1" applyProtection="1">
      <alignment vertical="center" shrinkToFit="1"/>
      <protection locked="0"/>
    </xf>
    <xf numFmtId="0" fontId="7" fillId="3" borderId="43" xfId="0" applyFont="1" applyFill="1" applyBorder="1" applyProtection="1">
      <protection hidden="1"/>
    </xf>
    <xf numFmtId="0" fontId="7" fillId="3" borderId="44" xfId="0" applyFont="1" applyFill="1" applyBorder="1" applyProtection="1">
      <protection hidden="1"/>
    </xf>
    <xf numFmtId="0" fontId="7" fillId="3" borderId="49" xfId="0" applyFont="1" applyFill="1" applyBorder="1" applyProtection="1">
      <protection hidden="1"/>
    </xf>
    <xf numFmtId="4" fontId="6" fillId="4" borderId="48" xfId="0" applyNumberFormat="1" applyFont="1" applyFill="1" applyBorder="1" applyAlignment="1" applyProtection="1">
      <alignment horizontal="centerContinuous"/>
      <protection hidden="1"/>
    </xf>
    <xf numFmtId="0" fontId="12" fillId="3" borderId="11" xfId="0" applyFont="1" applyFill="1" applyBorder="1" applyAlignment="1" applyProtection="1">
      <alignment vertical="center"/>
      <protection hidden="1"/>
    </xf>
    <xf numFmtId="0" fontId="12" fillId="3" borderId="10" xfId="0" applyFont="1" applyFill="1" applyBorder="1" applyAlignment="1" applyProtection="1">
      <alignment vertical="center"/>
      <protection hidden="1"/>
    </xf>
    <xf numFmtId="0" fontId="12" fillId="3" borderId="12" xfId="0" applyFont="1" applyFill="1" applyBorder="1" applyAlignment="1" applyProtection="1">
      <alignment vertical="center"/>
      <protection hidden="1"/>
    </xf>
    <xf numFmtId="0" fontId="12" fillId="3" borderId="11" xfId="0" applyFont="1" applyFill="1" applyBorder="1" applyAlignment="1" applyProtection="1">
      <alignment horizontal="left" vertical="center"/>
      <protection hidden="1"/>
    </xf>
    <xf numFmtId="0" fontId="12" fillId="3" borderId="10" xfId="0" applyFont="1" applyFill="1" applyBorder="1" applyAlignment="1" applyProtection="1">
      <alignment horizontal="left" vertical="center"/>
      <protection hidden="1"/>
    </xf>
    <xf numFmtId="0" fontId="12" fillId="3" borderId="12" xfId="0" applyFont="1" applyFill="1" applyBorder="1" applyAlignment="1" applyProtection="1">
      <alignment horizontal="left" vertical="center"/>
      <protection hidden="1"/>
    </xf>
    <xf numFmtId="171" fontId="11" fillId="4" borderId="30" xfId="0" applyNumberFormat="1" applyFont="1" applyFill="1" applyBorder="1" applyAlignment="1" applyProtection="1">
      <alignment vertical="center" shrinkToFit="1"/>
      <protection locked="0"/>
    </xf>
    <xf numFmtId="0" fontId="6" fillId="4" borderId="63" xfId="0" applyFont="1" applyFill="1" applyBorder="1" applyAlignment="1" applyProtection="1">
      <alignment horizontal="centerContinuous"/>
      <protection hidden="1"/>
    </xf>
    <xf numFmtId="0" fontId="7" fillId="3" borderId="24" xfId="0" applyFont="1" applyFill="1" applyBorder="1" applyAlignment="1" applyProtection="1">
      <alignment horizontal="left" vertical="center"/>
      <protection hidden="1"/>
    </xf>
    <xf numFmtId="2" fontId="6" fillId="0" borderId="71" xfId="0" applyNumberFormat="1" applyFont="1" applyBorder="1" applyAlignment="1" applyProtection="1">
      <alignment horizontal="center" shrinkToFit="1"/>
      <protection hidden="1"/>
    </xf>
    <xf numFmtId="3" fontId="6" fillId="4" borderId="48" xfId="0" applyNumberFormat="1" applyFont="1" applyFill="1" applyBorder="1" applyAlignment="1" applyProtection="1">
      <alignment horizontal="centerContinuous"/>
      <protection hidden="1"/>
    </xf>
    <xf numFmtId="0" fontId="7" fillId="3" borderId="7" xfId="0" applyFont="1" applyFill="1" applyBorder="1" applyProtection="1">
      <protection hidden="1"/>
    </xf>
    <xf numFmtId="0" fontId="7" fillId="3" borderId="8" xfId="0" applyFont="1" applyFill="1" applyBorder="1" applyProtection="1">
      <protection hidden="1"/>
    </xf>
    <xf numFmtId="0" fontId="7" fillId="3" borderId="72" xfId="0" applyFont="1" applyFill="1" applyBorder="1" applyProtection="1">
      <protection hidden="1"/>
    </xf>
    <xf numFmtId="4" fontId="6" fillId="4" borderId="73" xfId="0" applyNumberFormat="1" applyFont="1" applyFill="1" applyBorder="1" applyAlignment="1" applyProtection="1">
      <alignment horizontal="centerContinuous"/>
      <protection hidden="1"/>
    </xf>
    <xf numFmtId="4" fontId="6" fillId="4" borderId="9" xfId="0" applyNumberFormat="1" applyFont="1" applyFill="1" applyBorder="1" applyAlignment="1" applyProtection="1">
      <alignment horizontal="centerContinuous"/>
      <protection hidden="1"/>
    </xf>
    <xf numFmtId="2" fontId="6" fillId="0" borderId="34" xfId="3" applyNumberFormat="1" applyFont="1" applyBorder="1" applyAlignment="1">
      <alignment horizontal="center" vertical="center"/>
    </xf>
    <xf numFmtId="4" fontId="6" fillId="4" borderId="34" xfId="0" applyNumberFormat="1" applyFont="1" applyFill="1" applyBorder="1" applyAlignment="1" applyProtection="1">
      <alignment horizontal="center" vertical="center"/>
      <protection hidden="1"/>
    </xf>
    <xf numFmtId="4" fontId="6" fillId="4" borderId="1" xfId="0" applyNumberFormat="1" applyFont="1" applyFill="1" applyBorder="1" applyAlignment="1" applyProtection="1">
      <alignment horizontal="center" vertical="center"/>
      <protection hidden="1"/>
    </xf>
    <xf numFmtId="0" fontId="16" fillId="3" borderId="22" xfId="0" applyFont="1" applyFill="1" applyBorder="1" applyAlignment="1" applyProtection="1">
      <alignment horizontal="left"/>
      <protection hidden="1"/>
    </xf>
    <xf numFmtId="0" fontId="16" fillId="3" borderId="24" xfId="0" applyFont="1" applyFill="1" applyBorder="1" applyAlignment="1" applyProtection="1">
      <alignment horizontal="left"/>
      <protection hidden="1"/>
    </xf>
    <xf numFmtId="0" fontId="16" fillId="3" borderId="30" xfId="0" applyFont="1" applyFill="1" applyBorder="1" applyAlignment="1" applyProtection="1">
      <alignment horizontal="left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9" fillId="4" borderId="47" xfId="0" applyFont="1" applyFill="1" applyBorder="1" applyAlignment="1" applyProtection="1">
      <alignment horizontal="center"/>
      <protection hidden="1"/>
    </xf>
    <xf numFmtId="0" fontId="9" fillId="4" borderId="37" xfId="0" applyFont="1" applyFill="1" applyBorder="1" applyAlignment="1" applyProtection="1">
      <alignment horizontal="center"/>
      <protection hidden="1"/>
    </xf>
    <xf numFmtId="4" fontId="6" fillId="4" borderId="22" xfId="0" applyNumberFormat="1" applyFont="1" applyFill="1" applyBorder="1" applyAlignment="1" applyProtection="1">
      <alignment horizontal="center"/>
      <protection hidden="1"/>
    </xf>
    <xf numFmtId="4" fontId="6" fillId="4" borderId="30" xfId="0" applyNumberFormat="1" applyFont="1" applyFill="1" applyBorder="1" applyAlignment="1" applyProtection="1">
      <alignment horizontal="center"/>
      <protection hidden="1"/>
    </xf>
    <xf numFmtId="3" fontId="6" fillId="4" borderId="22" xfId="0" applyNumberFormat="1" applyFont="1" applyFill="1" applyBorder="1" applyAlignment="1" applyProtection="1">
      <alignment horizontal="center"/>
      <protection hidden="1"/>
    </xf>
    <xf numFmtId="3" fontId="6" fillId="4" borderId="23" xfId="0" applyNumberFormat="1" applyFont="1" applyFill="1" applyBorder="1" applyAlignment="1" applyProtection="1">
      <alignment horizontal="center"/>
      <protection hidden="1"/>
    </xf>
    <xf numFmtId="3" fontId="6" fillId="4" borderId="19" xfId="0" applyNumberFormat="1" applyFont="1" applyFill="1" applyBorder="1" applyAlignment="1" applyProtection="1">
      <alignment horizontal="center"/>
      <protection hidden="1"/>
    </xf>
    <xf numFmtId="3" fontId="6" fillId="4" borderId="20" xfId="0" applyNumberFormat="1" applyFont="1" applyFill="1" applyBorder="1" applyAlignment="1" applyProtection="1">
      <alignment horizontal="center"/>
      <protection hidden="1"/>
    </xf>
    <xf numFmtId="0" fontId="9" fillId="4" borderId="22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center"/>
      <protection hidden="1"/>
    </xf>
    <xf numFmtId="0" fontId="9" fillId="4" borderId="34" xfId="0" applyFont="1" applyFill="1" applyBorder="1" applyAlignment="1" applyProtection="1">
      <alignment horizontal="center"/>
      <protection hidden="1"/>
    </xf>
    <xf numFmtId="0" fontId="13" fillId="3" borderId="58" xfId="0" applyFont="1" applyFill="1" applyBorder="1" applyAlignment="1" applyProtection="1">
      <alignment horizontal="center" shrinkToFit="1"/>
      <protection hidden="1"/>
    </xf>
    <xf numFmtId="0" fontId="9" fillId="4" borderId="32" xfId="0" applyFont="1" applyFill="1" applyBorder="1" applyAlignment="1" applyProtection="1">
      <alignment horizontal="center" vertical="top"/>
      <protection hidden="1"/>
    </xf>
    <xf numFmtId="0" fontId="13" fillId="3" borderId="68" xfId="0" applyFont="1" applyFill="1" applyBorder="1" applyAlignment="1" applyProtection="1">
      <alignment horizontal="center" shrinkToFit="1"/>
      <protection hidden="1"/>
    </xf>
    <xf numFmtId="0" fontId="16" fillId="3" borderId="54" xfId="0" applyFont="1" applyFill="1" applyBorder="1" applyAlignment="1" applyProtection="1">
      <alignment horizontal="center" vertical="center"/>
      <protection hidden="1"/>
    </xf>
    <xf numFmtId="0" fontId="16" fillId="3" borderId="32" xfId="0" applyFont="1" applyFill="1" applyBorder="1" applyAlignment="1" applyProtection="1">
      <alignment horizontal="center" vertical="center"/>
      <protection hidden="1"/>
    </xf>
    <xf numFmtId="0" fontId="16" fillId="3" borderId="52" xfId="0" applyFont="1" applyFill="1" applyBorder="1" applyAlignment="1" applyProtection="1">
      <alignment horizontal="center" vertical="center"/>
      <protection hidden="1"/>
    </xf>
    <xf numFmtId="0" fontId="16" fillId="3" borderId="34" xfId="0" applyFont="1" applyFill="1" applyBorder="1" applyAlignment="1" applyProtection="1">
      <alignment horizontal="center" vertical="center"/>
      <protection hidden="1"/>
    </xf>
    <xf numFmtId="0" fontId="16" fillId="3" borderId="48" xfId="0" applyFont="1" applyFill="1" applyBorder="1" applyAlignment="1" applyProtection="1">
      <alignment horizontal="left"/>
      <protection hidden="1"/>
    </xf>
    <xf numFmtId="0" fontId="16" fillId="3" borderId="44" xfId="0" applyFont="1" applyFill="1" applyBorder="1" applyAlignment="1" applyProtection="1">
      <alignment horizontal="left"/>
      <protection hidden="1"/>
    </xf>
    <xf numFmtId="0" fontId="16" fillId="3" borderId="49" xfId="0" applyFont="1" applyFill="1" applyBorder="1" applyAlignment="1" applyProtection="1">
      <alignment horizontal="left"/>
      <protection hidden="1"/>
    </xf>
    <xf numFmtId="0" fontId="9" fillId="4" borderId="34" xfId="0" applyFont="1" applyFill="1" applyBorder="1" applyAlignment="1" applyProtection="1">
      <alignment horizontal="center" vertical="center"/>
      <protection hidden="1"/>
    </xf>
    <xf numFmtId="0" fontId="9" fillId="4" borderId="32" xfId="0" applyFont="1" applyFill="1" applyBorder="1" applyAlignment="1" applyProtection="1">
      <alignment horizontal="center" vertical="center"/>
      <protection hidden="1"/>
    </xf>
    <xf numFmtId="0" fontId="9" fillId="4" borderId="48" xfId="0" applyFont="1" applyFill="1" applyBorder="1" applyAlignment="1" applyProtection="1">
      <alignment horizontal="center" vertical="center"/>
      <protection hidden="1"/>
    </xf>
    <xf numFmtId="171" fontId="13" fillId="3" borderId="41" xfId="0" applyNumberFormat="1" applyFont="1" applyFill="1" applyBorder="1" applyAlignment="1" applyProtection="1">
      <alignment horizontal="center" vertical="center"/>
      <protection hidden="1"/>
    </xf>
    <xf numFmtId="171" fontId="13" fillId="3" borderId="53" xfId="0" applyNumberFormat="1" applyFont="1" applyFill="1" applyBorder="1" applyAlignment="1" applyProtection="1">
      <alignment horizontal="center" vertical="center"/>
      <protection hidden="1"/>
    </xf>
    <xf numFmtId="171" fontId="13" fillId="3" borderId="69" xfId="0" applyNumberFormat="1" applyFont="1" applyFill="1" applyBorder="1" applyAlignment="1" applyProtection="1">
      <alignment horizontal="center" vertical="center"/>
      <protection hidden="1"/>
    </xf>
    <xf numFmtId="171" fontId="13" fillId="3" borderId="0" xfId="0" applyNumberFormat="1" applyFont="1" applyFill="1" applyBorder="1" applyAlignment="1" applyProtection="1">
      <alignment horizontal="center" vertical="center"/>
      <protection hidden="1"/>
    </xf>
    <xf numFmtId="171" fontId="13" fillId="3" borderId="45" xfId="0" applyNumberFormat="1" applyFont="1" applyFill="1" applyBorder="1" applyAlignment="1" applyProtection="1">
      <alignment horizontal="center" vertical="center"/>
      <protection hidden="1"/>
    </xf>
    <xf numFmtId="171" fontId="13" fillId="3" borderId="8" xfId="0" applyNumberFormat="1" applyFont="1" applyFill="1" applyBorder="1" applyAlignment="1" applyProtection="1">
      <alignment horizontal="center" vertical="center"/>
      <protection hidden="1"/>
    </xf>
    <xf numFmtId="0" fontId="12" fillId="3" borderId="62" xfId="0" applyFont="1" applyFill="1" applyBorder="1" applyAlignment="1" applyProtection="1">
      <alignment horizontal="center" vertical="center"/>
      <protection hidden="1"/>
    </xf>
    <xf numFmtId="0" fontId="12" fillId="3" borderId="37" xfId="0" applyFont="1" applyFill="1" applyBorder="1" applyAlignment="1" applyProtection="1">
      <alignment horizontal="center" vertical="center"/>
      <protection hidden="1"/>
    </xf>
    <xf numFmtId="0" fontId="12" fillId="3" borderId="27" xfId="0" applyFont="1" applyFill="1" applyBorder="1" applyAlignment="1" applyProtection="1">
      <alignment horizontal="center" vertical="center"/>
      <protection hidden="1"/>
    </xf>
    <xf numFmtId="0" fontId="12" fillId="3" borderId="21" xfId="0" applyFont="1" applyFill="1" applyBorder="1" applyAlignment="1" applyProtection="1">
      <alignment horizontal="center" vertical="center"/>
      <protection hidden="1"/>
    </xf>
    <xf numFmtId="0" fontId="12" fillId="3" borderId="24" xfId="0" applyFont="1" applyFill="1" applyBorder="1" applyAlignment="1" applyProtection="1">
      <alignment horizontal="center" vertical="center"/>
      <protection hidden="1"/>
    </xf>
    <xf numFmtId="0" fontId="12" fillId="3" borderId="30" xfId="0" applyFont="1" applyFill="1" applyBorder="1" applyAlignment="1" applyProtection="1">
      <alignment horizontal="center" vertical="center"/>
      <protection hidden="1"/>
    </xf>
    <xf numFmtId="0" fontId="12" fillId="3" borderId="43" xfId="0" applyFont="1" applyFill="1" applyBorder="1" applyAlignment="1" applyProtection="1">
      <alignment horizontal="center" vertical="center"/>
      <protection hidden="1"/>
    </xf>
    <xf numFmtId="0" fontId="12" fillId="3" borderId="44" xfId="0" applyFont="1" applyFill="1" applyBorder="1" applyAlignment="1" applyProtection="1">
      <alignment horizontal="center" vertical="center"/>
      <protection hidden="1"/>
    </xf>
    <xf numFmtId="0" fontId="12" fillId="3" borderId="49" xfId="0" applyFont="1" applyFill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 shrinkToFit="1"/>
      <protection hidden="1"/>
    </xf>
    <xf numFmtId="0" fontId="16" fillId="0" borderId="49" xfId="0" applyFont="1" applyBorder="1" applyAlignment="1" applyProtection="1">
      <alignment horizontal="center" vertical="center" shrinkToFit="1"/>
      <protection hidden="1"/>
    </xf>
    <xf numFmtId="0" fontId="22" fillId="5" borderId="57" xfId="0" applyFont="1" applyFill="1" applyBorder="1" applyAlignment="1" applyProtection="1">
      <alignment horizontal="center" vertical="center" textRotation="90"/>
      <protection hidden="1"/>
    </xf>
    <xf numFmtId="0" fontId="22" fillId="5" borderId="52" xfId="0" applyFont="1" applyFill="1" applyBorder="1" applyAlignment="1" applyProtection="1">
      <alignment horizontal="center" vertical="center" textRotation="90"/>
      <protection hidden="1"/>
    </xf>
    <xf numFmtId="0" fontId="22" fillId="5" borderId="51" xfId="0" applyFont="1" applyFill="1" applyBorder="1" applyAlignment="1" applyProtection="1">
      <alignment horizontal="center" vertical="center" textRotation="90"/>
      <protection hidden="1"/>
    </xf>
    <xf numFmtId="0" fontId="13" fillId="3" borderId="65" xfId="0" applyFont="1" applyFill="1" applyBorder="1" applyAlignment="1" applyProtection="1">
      <alignment horizontal="center"/>
      <protection hidden="1"/>
    </xf>
    <xf numFmtId="0" fontId="13" fillId="3" borderId="58" xfId="0" applyFont="1" applyFill="1" applyBorder="1" applyAlignment="1" applyProtection="1">
      <alignment horizontal="center"/>
      <protection hidden="1"/>
    </xf>
    <xf numFmtId="0" fontId="16" fillId="3" borderId="50" xfId="0" applyFont="1" applyFill="1" applyBorder="1" applyAlignment="1" applyProtection="1">
      <alignment horizontal="center" vertical="center"/>
      <protection hidden="1"/>
    </xf>
    <xf numFmtId="0" fontId="16" fillId="3" borderId="14" xfId="0" applyFont="1" applyFill="1" applyBorder="1" applyAlignment="1" applyProtection="1">
      <alignment horizontal="center" vertical="center"/>
      <protection hidden="1"/>
    </xf>
    <xf numFmtId="0" fontId="16" fillId="3" borderId="67" xfId="0" applyFont="1" applyFill="1" applyBorder="1" applyAlignment="1" applyProtection="1">
      <alignment horizontal="center" vertical="center"/>
      <protection hidden="1"/>
    </xf>
    <xf numFmtId="0" fontId="16" fillId="3" borderId="18" xfId="0" applyFont="1" applyFill="1" applyBorder="1" applyAlignment="1" applyProtection="1">
      <alignment horizontal="center" vertical="center"/>
      <protection hidden="1"/>
    </xf>
    <xf numFmtId="0" fontId="16" fillId="3" borderId="13" xfId="0" applyFont="1" applyFill="1" applyBorder="1" applyAlignment="1" applyProtection="1">
      <alignment horizontal="center" vertical="center"/>
      <protection hidden="1"/>
    </xf>
    <xf numFmtId="0" fontId="16" fillId="3" borderId="25" xfId="0" applyFont="1" applyFill="1" applyBorder="1" applyAlignment="1" applyProtection="1">
      <alignment horizontal="center" vertical="center"/>
      <protection hidden="1"/>
    </xf>
    <xf numFmtId="2" fontId="13" fillId="4" borderId="22" xfId="0" applyNumberFormat="1" applyFont="1" applyFill="1" applyBorder="1" applyAlignment="1" applyProtection="1">
      <alignment horizontal="center" vertical="center"/>
      <protection hidden="1"/>
    </xf>
    <xf numFmtId="2" fontId="13" fillId="4" borderId="30" xfId="0" applyNumberFormat="1" applyFont="1" applyFill="1" applyBorder="1" applyAlignment="1" applyProtection="1">
      <alignment horizontal="center" vertical="center"/>
      <protection hidden="1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13" fillId="3" borderId="30" xfId="0" applyFont="1" applyFill="1" applyBorder="1" applyAlignment="1" applyProtection="1">
      <alignment horizontal="center" vertical="center"/>
      <protection hidden="1"/>
    </xf>
    <xf numFmtId="0" fontId="21" fillId="5" borderId="0" xfId="0" applyFont="1" applyFill="1" applyBorder="1" applyAlignment="1" applyProtection="1">
      <alignment horizontal="left"/>
      <protection hidden="1"/>
    </xf>
    <xf numFmtId="2" fontId="12" fillId="4" borderId="22" xfId="0" applyNumberFormat="1" applyFont="1" applyFill="1" applyBorder="1" applyAlignment="1" applyProtection="1">
      <alignment horizontal="center" vertical="center"/>
      <protection hidden="1"/>
    </xf>
    <xf numFmtId="2" fontId="12" fillId="4" borderId="30" xfId="0" applyNumberFormat="1" applyFont="1" applyFill="1" applyBorder="1" applyAlignment="1" applyProtection="1">
      <alignment horizontal="center" vertical="center"/>
      <protection hidden="1"/>
    </xf>
    <xf numFmtId="0" fontId="13" fillId="3" borderId="62" xfId="0" applyFont="1" applyFill="1" applyBorder="1" applyAlignment="1" applyProtection="1">
      <alignment horizontal="left"/>
      <protection hidden="1"/>
    </xf>
    <xf numFmtId="0" fontId="13" fillId="3" borderId="37" xfId="0" applyFont="1" applyFill="1" applyBorder="1" applyAlignment="1" applyProtection="1">
      <alignment horizontal="left"/>
      <protection hidden="1"/>
    </xf>
    <xf numFmtId="0" fontId="13" fillId="3" borderId="27" xfId="0" applyFont="1" applyFill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0" fillId="5" borderId="16" xfId="0" applyFont="1" applyFill="1" applyBorder="1" applyAlignment="1" applyProtection="1">
      <alignment horizontal="center"/>
      <protection hidden="1"/>
    </xf>
    <xf numFmtId="0" fontId="20" fillId="5" borderId="29" xfId="0" applyFont="1" applyFill="1" applyBorder="1" applyAlignment="1" applyProtection="1">
      <alignment horizontal="center"/>
      <protection hidden="1"/>
    </xf>
    <xf numFmtId="0" fontId="20" fillId="5" borderId="17" xfId="0" applyFont="1" applyFill="1" applyBorder="1" applyAlignment="1" applyProtection="1">
      <alignment horizontal="center"/>
      <protection hidden="1"/>
    </xf>
    <xf numFmtId="0" fontId="9" fillId="4" borderId="27" xfId="0" applyFont="1" applyFill="1" applyBorder="1" applyAlignment="1" applyProtection="1">
      <alignment horizontal="center"/>
      <protection hidden="1"/>
    </xf>
    <xf numFmtId="0" fontId="12" fillId="3" borderId="22" xfId="0" applyFont="1" applyFill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4" fontId="26" fillId="4" borderId="11" xfId="0" applyNumberFormat="1" applyFont="1" applyFill="1" applyBorder="1" applyAlignment="1" applyProtection="1">
      <alignment horizontal="center" vertical="center"/>
      <protection hidden="1"/>
    </xf>
    <xf numFmtId="4" fontId="26" fillId="4" borderId="12" xfId="0" applyNumberFormat="1" applyFont="1" applyFill="1" applyBorder="1" applyAlignment="1" applyProtection="1">
      <alignment horizontal="center" vertical="center"/>
      <protection hidden="1"/>
    </xf>
    <xf numFmtId="0" fontId="23" fillId="5" borderId="59" xfId="0" applyFont="1" applyFill="1" applyBorder="1" applyAlignment="1" applyProtection="1">
      <alignment horizontal="center" vertical="center" shrinkToFit="1"/>
      <protection hidden="1"/>
    </xf>
    <xf numFmtId="10" fontId="13" fillId="0" borderId="0" xfId="0" applyNumberFormat="1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10" fontId="13" fillId="0" borderId="6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4" fontId="25" fillId="4" borderId="11" xfId="0" applyNumberFormat="1" applyFont="1" applyFill="1" applyBorder="1" applyAlignment="1" applyProtection="1">
      <alignment horizontal="center" vertical="center"/>
      <protection hidden="1"/>
    </xf>
    <xf numFmtId="4" fontId="25" fillId="4" borderId="12" xfId="0" applyNumberFormat="1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top"/>
      <protection hidden="1"/>
    </xf>
    <xf numFmtId="0" fontId="9" fillId="4" borderId="30" xfId="0" applyFont="1" applyFill="1" applyBorder="1" applyAlignment="1" applyProtection="1">
      <alignment horizontal="center" vertical="top"/>
      <protection hidden="1"/>
    </xf>
    <xf numFmtId="0" fontId="9" fillId="4" borderId="30" xfId="0" applyFont="1" applyFill="1" applyBorder="1" applyAlignment="1" applyProtection="1">
      <alignment horizontal="center"/>
      <protection hidden="1"/>
    </xf>
    <xf numFmtId="0" fontId="13" fillId="3" borderId="52" xfId="0" applyFont="1" applyFill="1" applyBorder="1" applyAlignment="1" applyProtection="1">
      <alignment horizontal="left"/>
      <protection hidden="1"/>
    </xf>
    <xf numFmtId="0" fontId="13" fillId="3" borderId="34" xfId="0" applyFont="1" applyFill="1" applyBorder="1" applyAlignment="1" applyProtection="1">
      <alignment horizontal="left"/>
      <protection hidden="1"/>
    </xf>
    <xf numFmtId="0" fontId="13" fillId="3" borderId="21" xfId="0" applyFont="1" applyFill="1" applyBorder="1" applyAlignment="1" applyProtection="1">
      <alignment horizontal="left"/>
      <protection hidden="1"/>
    </xf>
    <xf numFmtId="0" fontId="13" fillId="3" borderId="24" xfId="0" applyFont="1" applyFill="1" applyBorder="1" applyAlignment="1" applyProtection="1">
      <alignment horizontal="left"/>
      <protection hidden="1"/>
    </xf>
    <xf numFmtId="0" fontId="13" fillId="3" borderId="30" xfId="0" applyFont="1" applyFill="1" applyBorder="1" applyAlignment="1" applyProtection="1">
      <alignment horizontal="left"/>
      <protection hidden="1"/>
    </xf>
    <xf numFmtId="0" fontId="9" fillId="4" borderId="30" xfId="0" applyFont="1" applyFill="1" applyBorder="1" applyAlignment="1" applyProtection="1">
      <alignment horizontal="center" vertical="center"/>
      <protection hidden="1"/>
    </xf>
    <xf numFmtId="2" fontId="13" fillId="7" borderId="44" xfId="0" applyNumberFormat="1" applyFont="1" applyFill="1" applyBorder="1" applyAlignment="1" applyProtection="1">
      <alignment horizontal="center"/>
      <protection locked="0"/>
    </xf>
    <xf numFmtId="2" fontId="13" fillId="7" borderId="49" xfId="0" applyNumberFormat="1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hidden="1"/>
    </xf>
    <xf numFmtId="0" fontId="13" fillId="3" borderId="27" xfId="0" applyFont="1" applyFill="1" applyBorder="1" applyAlignment="1" applyProtection="1">
      <alignment horizontal="center" vertical="center"/>
      <protection hidden="1"/>
    </xf>
    <xf numFmtId="0" fontId="16" fillId="3" borderId="58" xfId="0" applyFont="1" applyFill="1" applyBorder="1" applyAlignment="1" applyProtection="1">
      <alignment horizontal="center" vertical="center" shrinkToFit="1"/>
      <protection hidden="1"/>
    </xf>
    <xf numFmtId="0" fontId="7" fillId="3" borderId="66" xfId="0" applyFont="1" applyFill="1" applyBorder="1" applyAlignment="1">
      <alignment horizontal="center" vertical="center" shrinkToFit="1"/>
    </xf>
    <xf numFmtId="0" fontId="10" fillId="4" borderId="26" xfId="0" applyFont="1" applyFill="1" applyBorder="1" applyAlignment="1" applyProtection="1">
      <alignment horizontal="center" vertical="center"/>
      <protection hidden="1"/>
    </xf>
    <xf numFmtId="0" fontId="10" fillId="4" borderId="42" xfId="0" applyFont="1" applyFill="1" applyBorder="1" applyAlignment="1" applyProtection="1">
      <alignment horizontal="center" vertical="center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169" fontId="7" fillId="0" borderId="3" xfId="0" applyNumberFormat="1" applyFont="1" applyBorder="1" applyAlignment="1" applyProtection="1">
      <alignment horizontal="center" vertical="center" shrinkToFit="1"/>
      <protection hidden="1"/>
    </xf>
    <xf numFmtId="169" fontId="7" fillId="0" borderId="0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</cellXfs>
  <cellStyles count="4">
    <cellStyle name="Normal" xfId="0" builtinId="0"/>
    <cellStyle name="Normal 2" xfId="3" xr:uid="{00000000-0005-0000-0000-000001000000}"/>
    <cellStyle name="Œ…‹æØ‚è [0.00]_laroux" xfId="1" xr:uid="{00000000-0005-0000-0000-000002000000}"/>
    <cellStyle name="Œ…‹æØ‚è_laroux" xfId="2" xr:uid="{00000000-0005-0000-0000-000003000000}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solid"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604777135012262E-2"/>
          <c:y val="3.3931079862012013E-2"/>
          <c:w val="0.97284226460183543"/>
          <c:h val="0.84459738108827698"/>
        </c:manualLayout>
      </c:layout>
      <c:lineChart>
        <c:grouping val="standard"/>
        <c:varyColors val="0"/>
        <c:ser>
          <c:idx val="0"/>
          <c:order val="0"/>
          <c:tx>
            <c:strRef>
              <c:f>Formule!$T$36</c:f>
              <c:strCache>
                <c:ptCount val="1"/>
                <c:pt idx="0">
                  <c:v>Data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Formule!$T$90:$CT$90</c:f>
              <c:numCache>
                <c:formatCode>0.0000</c:formatCode>
                <c:ptCount val="79"/>
                <c:pt idx="0">
                  <c:v>3.7694552177875096E-2</c:v>
                </c:pt>
                <c:pt idx="1">
                  <c:v>2.961697927116802E-2</c:v>
                </c:pt>
                <c:pt idx="2">
                  <c:v>2.8710136178716539E-2</c:v>
                </c:pt>
                <c:pt idx="3">
                  <c:v>3.2516142465464526E-2</c:v>
                </c:pt>
                <c:pt idx="4">
                  <c:v>3.7694552177875096E-2</c:v>
                </c:pt>
                <c:pt idx="5">
                  <c:v>2.961697927116802E-2</c:v>
                </c:pt>
                <c:pt idx="6">
                  <c:v>2.8710136178716539E-2</c:v>
                </c:pt>
                <c:pt idx="7">
                  <c:v>3.2516142465464526E-2</c:v>
                </c:pt>
                <c:pt idx="8">
                  <c:v>3.7694552177875096E-2</c:v>
                </c:pt>
                <c:pt idx="9">
                  <c:v>2.961697927116802E-2</c:v>
                </c:pt>
                <c:pt idx="10">
                  <c:v>2.8710136178716539E-2</c:v>
                </c:pt>
                <c:pt idx="11">
                  <c:v>3.2516142465464526E-2</c:v>
                </c:pt>
                <c:pt idx="12">
                  <c:v>3.7694552177875096E-2</c:v>
                </c:pt>
                <c:pt idx="13">
                  <c:v>2.961697927116802E-2</c:v>
                </c:pt>
                <c:pt idx="14">
                  <c:v>2.8710136178716539E-2</c:v>
                </c:pt>
                <c:pt idx="15">
                  <c:v>3.2516142465464526E-2</c:v>
                </c:pt>
                <c:pt idx="16">
                  <c:v>3.7694552177875096E-2</c:v>
                </c:pt>
                <c:pt idx="17">
                  <c:v>2.961697927116802E-2</c:v>
                </c:pt>
                <c:pt idx="18">
                  <c:v>2.8710136178716539E-2</c:v>
                </c:pt>
                <c:pt idx="19">
                  <c:v>3.2516142465464526E-2</c:v>
                </c:pt>
                <c:pt idx="20">
                  <c:v>3.7694552177875096E-2</c:v>
                </c:pt>
                <c:pt idx="21">
                  <c:v>2.961697927116802E-2</c:v>
                </c:pt>
                <c:pt idx="22">
                  <c:v>2.8710136178716539E-2</c:v>
                </c:pt>
                <c:pt idx="23">
                  <c:v>3.2516142465464526E-2</c:v>
                </c:pt>
                <c:pt idx="24">
                  <c:v>3.7694552177875096E-2</c:v>
                </c:pt>
                <c:pt idx="25">
                  <c:v>2.961697927116802E-2</c:v>
                </c:pt>
                <c:pt idx="26">
                  <c:v>2.8710136178716539E-2</c:v>
                </c:pt>
                <c:pt idx="27">
                  <c:v>3.2516142465464526E-2</c:v>
                </c:pt>
                <c:pt idx="28">
                  <c:v>3.7694552177875096E-2</c:v>
                </c:pt>
                <c:pt idx="29">
                  <c:v>2.961697927116802E-2</c:v>
                </c:pt>
                <c:pt idx="30">
                  <c:v>2.8710136178716539E-2</c:v>
                </c:pt>
                <c:pt idx="31">
                  <c:v>3.2516142465464526E-2</c:v>
                </c:pt>
                <c:pt idx="32">
                  <c:v>3.7694552177875096E-2</c:v>
                </c:pt>
                <c:pt idx="33">
                  <c:v>2.961697927116802E-2</c:v>
                </c:pt>
                <c:pt idx="34">
                  <c:v>2.8710136178716539E-2</c:v>
                </c:pt>
                <c:pt idx="35">
                  <c:v>3.2516142465464526E-2</c:v>
                </c:pt>
                <c:pt idx="36">
                  <c:v>3.7694552177875096E-2</c:v>
                </c:pt>
                <c:pt idx="37">
                  <c:v>2.961697927116802E-2</c:v>
                </c:pt>
                <c:pt idx="38">
                  <c:v>2.8710136178716539E-2</c:v>
                </c:pt>
                <c:pt idx="39">
                  <c:v>3.2516142465464526E-2</c:v>
                </c:pt>
                <c:pt idx="40">
                  <c:v>3.7694552177875096E-2</c:v>
                </c:pt>
                <c:pt idx="41">
                  <c:v>2.961697927116802E-2</c:v>
                </c:pt>
                <c:pt idx="42">
                  <c:v>2.8710136178716539E-2</c:v>
                </c:pt>
                <c:pt idx="43">
                  <c:v>3.2516142465464526E-2</c:v>
                </c:pt>
                <c:pt idx="44">
                  <c:v>3.7694552177875096E-2</c:v>
                </c:pt>
                <c:pt idx="45">
                  <c:v>2.961697927116802E-2</c:v>
                </c:pt>
                <c:pt idx="46">
                  <c:v>2.8710136178716539E-2</c:v>
                </c:pt>
                <c:pt idx="47">
                  <c:v>3.2516142465464526E-2</c:v>
                </c:pt>
                <c:pt idx="48">
                  <c:v>3.7694552177875096E-2</c:v>
                </c:pt>
                <c:pt idx="49">
                  <c:v>2.961697927116802E-2</c:v>
                </c:pt>
                <c:pt idx="50">
                  <c:v>2.8710136178716539E-2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E-4557-BE94-DECA6344E8BA}"/>
            </c:ext>
          </c:extLst>
        </c:ser>
        <c:ser>
          <c:idx val="1"/>
          <c:order val="1"/>
          <c:tx>
            <c:strRef>
              <c:f>Formule!$S$43</c:f>
              <c:strCache>
                <c:ptCount val="1"/>
                <c:pt idx="0">
                  <c:v>UCLr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Formule!$T$43:$CT$43</c:f>
              <c:numCache>
                <c:formatCode>0.00</c:formatCode>
                <c:ptCount val="79"/>
                <c:pt idx="0">
                  <c:v>6.8022533552614922E-2</c:v>
                </c:pt>
                <c:pt idx="1">
                  <c:v>6.8022533552614922E-2</c:v>
                </c:pt>
                <c:pt idx="2">
                  <c:v>6.8022533552614922E-2</c:v>
                </c:pt>
                <c:pt idx="3">
                  <c:v>6.8022533552614922E-2</c:v>
                </c:pt>
                <c:pt idx="4">
                  <c:v>6.8022533552614922E-2</c:v>
                </c:pt>
                <c:pt idx="5">
                  <c:v>6.8022533552614922E-2</c:v>
                </c:pt>
                <c:pt idx="6">
                  <c:v>6.8022533552614922E-2</c:v>
                </c:pt>
                <c:pt idx="7">
                  <c:v>6.8022533552614922E-2</c:v>
                </c:pt>
                <c:pt idx="8">
                  <c:v>6.8022533552614922E-2</c:v>
                </c:pt>
                <c:pt idx="9">
                  <c:v>6.8022533552614922E-2</c:v>
                </c:pt>
                <c:pt idx="10">
                  <c:v>6.8022533552614922E-2</c:v>
                </c:pt>
                <c:pt idx="11">
                  <c:v>6.8022533552614922E-2</c:v>
                </c:pt>
                <c:pt idx="12">
                  <c:v>6.8022533552614922E-2</c:v>
                </c:pt>
                <c:pt idx="13">
                  <c:v>6.8022533552614922E-2</c:v>
                </c:pt>
                <c:pt idx="14">
                  <c:v>6.8022533552614922E-2</c:v>
                </c:pt>
                <c:pt idx="15">
                  <c:v>6.8022533552614922E-2</c:v>
                </c:pt>
                <c:pt idx="16">
                  <c:v>6.8022533552614922E-2</c:v>
                </c:pt>
                <c:pt idx="17">
                  <c:v>6.8022533552614922E-2</c:v>
                </c:pt>
                <c:pt idx="18">
                  <c:v>6.8022533552614922E-2</c:v>
                </c:pt>
                <c:pt idx="19">
                  <c:v>6.8022533552614922E-2</c:v>
                </c:pt>
                <c:pt idx="20">
                  <c:v>6.8022533552614922E-2</c:v>
                </c:pt>
                <c:pt idx="21">
                  <c:v>6.8022533552614922E-2</c:v>
                </c:pt>
                <c:pt idx="22">
                  <c:v>6.8022533552614922E-2</c:v>
                </c:pt>
                <c:pt idx="23">
                  <c:v>6.8022533552614922E-2</c:v>
                </c:pt>
                <c:pt idx="24">
                  <c:v>6.8022533552614922E-2</c:v>
                </c:pt>
                <c:pt idx="25">
                  <c:v>6.8022533552614922E-2</c:v>
                </c:pt>
                <c:pt idx="26">
                  <c:v>6.8022533552614922E-2</c:v>
                </c:pt>
                <c:pt idx="27">
                  <c:v>6.8022533552614922E-2</c:v>
                </c:pt>
                <c:pt idx="28">
                  <c:v>6.8022533552614922E-2</c:v>
                </c:pt>
                <c:pt idx="29">
                  <c:v>6.8022533552614922E-2</c:v>
                </c:pt>
                <c:pt idx="30">
                  <c:v>6.8022533552614922E-2</c:v>
                </c:pt>
                <c:pt idx="31">
                  <c:v>6.8022533552614922E-2</c:v>
                </c:pt>
                <c:pt idx="32">
                  <c:v>6.8022533552614922E-2</c:v>
                </c:pt>
                <c:pt idx="33">
                  <c:v>6.8022533552614922E-2</c:v>
                </c:pt>
                <c:pt idx="34">
                  <c:v>6.8022533552614922E-2</c:v>
                </c:pt>
                <c:pt idx="35">
                  <c:v>6.8022533552614922E-2</c:v>
                </c:pt>
                <c:pt idx="36">
                  <c:v>6.8022533552614922E-2</c:v>
                </c:pt>
                <c:pt idx="37">
                  <c:v>6.8022533552614922E-2</c:v>
                </c:pt>
                <c:pt idx="38">
                  <c:v>6.8022533552614922E-2</c:v>
                </c:pt>
                <c:pt idx="39">
                  <c:v>6.8022533552614922E-2</c:v>
                </c:pt>
                <c:pt idx="40">
                  <c:v>6.8022533552614922E-2</c:v>
                </c:pt>
                <c:pt idx="41">
                  <c:v>6.8022533552614922E-2</c:v>
                </c:pt>
                <c:pt idx="42">
                  <c:v>6.8022533552614922E-2</c:v>
                </c:pt>
                <c:pt idx="43">
                  <c:v>6.8022533552614922E-2</c:v>
                </c:pt>
                <c:pt idx="44">
                  <c:v>6.8022533552614922E-2</c:v>
                </c:pt>
                <c:pt idx="45">
                  <c:v>6.8022533552614922E-2</c:v>
                </c:pt>
                <c:pt idx="46">
                  <c:v>6.8022533552614922E-2</c:v>
                </c:pt>
                <c:pt idx="47">
                  <c:v>6.8022533552614922E-2</c:v>
                </c:pt>
                <c:pt idx="48">
                  <c:v>6.8022533552614922E-2</c:v>
                </c:pt>
                <c:pt idx="49">
                  <c:v>6.8022533552614922E-2</c:v>
                </c:pt>
                <c:pt idx="50">
                  <c:v>6.8022533552614922E-2</c:v>
                </c:pt>
                <c:pt idx="51">
                  <c:v>6.8022533552614922E-2</c:v>
                </c:pt>
                <c:pt idx="52">
                  <c:v>6.8022533552614922E-2</c:v>
                </c:pt>
                <c:pt idx="53">
                  <c:v>6.8022533552614922E-2</c:v>
                </c:pt>
                <c:pt idx="54">
                  <c:v>6.8022533552614922E-2</c:v>
                </c:pt>
                <c:pt idx="55">
                  <c:v>6.8022533552614922E-2</c:v>
                </c:pt>
                <c:pt idx="56">
                  <c:v>6.8022533552614922E-2</c:v>
                </c:pt>
                <c:pt idx="57">
                  <c:v>6.8022533552614922E-2</c:v>
                </c:pt>
                <c:pt idx="58">
                  <c:v>6.8022533552614922E-2</c:v>
                </c:pt>
                <c:pt idx="59">
                  <c:v>6.8022533552614922E-2</c:v>
                </c:pt>
                <c:pt idx="60">
                  <c:v>6.8022533552614922E-2</c:v>
                </c:pt>
                <c:pt idx="61">
                  <c:v>6.8022533552614922E-2</c:v>
                </c:pt>
                <c:pt idx="62">
                  <c:v>6.8022533552614922E-2</c:v>
                </c:pt>
                <c:pt idx="63">
                  <c:v>6.8022533552614922E-2</c:v>
                </c:pt>
                <c:pt idx="64">
                  <c:v>6.8022533552614922E-2</c:v>
                </c:pt>
                <c:pt idx="65">
                  <c:v>6.8022533552614922E-2</c:v>
                </c:pt>
                <c:pt idx="66">
                  <c:v>6.8022533552614922E-2</c:v>
                </c:pt>
                <c:pt idx="67">
                  <c:v>6.8022533552614922E-2</c:v>
                </c:pt>
                <c:pt idx="68">
                  <c:v>6.8022533552614922E-2</c:v>
                </c:pt>
                <c:pt idx="69">
                  <c:v>6.8022533552614922E-2</c:v>
                </c:pt>
                <c:pt idx="70">
                  <c:v>6.8022533552614922E-2</c:v>
                </c:pt>
                <c:pt idx="71">
                  <c:v>6.8022533552614922E-2</c:v>
                </c:pt>
                <c:pt idx="72">
                  <c:v>6.8022533552614922E-2</c:v>
                </c:pt>
                <c:pt idx="73">
                  <c:v>6.8022533552614922E-2</c:v>
                </c:pt>
                <c:pt idx="74">
                  <c:v>6.8022533552614922E-2</c:v>
                </c:pt>
                <c:pt idx="75">
                  <c:v>6.8022533552614922E-2</c:v>
                </c:pt>
                <c:pt idx="76">
                  <c:v>6.8022533552614922E-2</c:v>
                </c:pt>
                <c:pt idx="77">
                  <c:v>6.8022533552614922E-2</c:v>
                </c:pt>
                <c:pt idx="78">
                  <c:v>6.8022533552614922E-2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E-4557-BE94-DECA6344E8BA}"/>
            </c:ext>
          </c:extLst>
        </c:ser>
        <c:ser>
          <c:idx val="2"/>
          <c:order val="2"/>
          <c:tx>
            <c:strRef>
              <c:f>Formule!$S$44</c:f>
              <c:strCache>
                <c:ptCount val="1"/>
                <c:pt idx="0">
                  <c:v>AveR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none"/>
          </c:marker>
          <c:val>
            <c:numRef>
              <c:f>Formule!$T$44:$CT$44</c:f>
              <c:numCache>
                <c:formatCode>0.00</c:formatCode>
                <c:ptCount val="79"/>
                <c:pt idx="0">
                  <c:v>3.2177168189505639E-2</c:v>
                </c:pt>
                <c:pt idx="1">
                  <c:v>3.2177168189505639E-2</c:v>
                </c:pt>
                <c:pt idx="2">
                  <c:v>3.2177168189505639E-2</c:v>
                </c:pt>
                <c:pt idx="3">
                  <c:v>3.2177168189505639E-2</c:v>
                </c:pt>
                <c:pt idx="4">
                  <c:v>3.2177168189505639E-2</c:v>
                </c:pt>
                <c:pt idx="5">
                  <c:v>3.2177168189505639E-2</c:v>
                </c:pt>
                <c:pt idx="6">
                  <c:v>3.2177168189505639E-2</c:v>
                </c:pt>
                <c:pt idx="7">
                  <c:v>3.2177168189505639E-2</c:v>
                </c:pt>
                <c:pt idx="8">
                  <c:v>3.2177168189505639E-2</c:v>
                </c:pt>
                <c:pt idx="9">
                  <c:v>3.2177168189505639E-2</c:v>
                </c:pt>
                <c:pt idx="10">
                  <c:v>3.2177168189505639E-2</c:v>
                </c:pt>
                <c:pt idx="11">
                  <c:v>3.2177168189505639E-2</c:v>
                </c:pt>
                <c:pt idx="12">
                  <c:v>3.2177168189505639E-2</c:v>
                </c:pt>
                <c:pt idx="13">
                  <c:v>3.2177168189505639E-2</c:v>
                </c:pt>
                <c:pt idx="14">
                  <c:v>3.2177168189505639E-2</c:v>
                </c:pt>
                <c:pt idx="15">
                  <c:v>3.2177168189505639E-2</c:v>
                </c:pt>
                <c:pt idx="16">
                  <c:v>3.2177168189505639E-2</c:v>
                </c:pt>
                <c:pt idx="17">
                  <c:v>3.2177168189505639E-2</c:v>
                </c:pt>
                <c:pt idx="18">
                  <c:v>3.2177168189505639E-2</c:v>
                </c:pt>
                <c:pt idx="19">
                  <c:v>3.2177168189505639E-2</c:v>
                </c:pt>
                <c:pt idx="20">
                  <c:v>3.2177168189505639E-2</c:v>
                </c:pt>
                <c:pt idx="21">
                  <c:v>3.2177168189505639E-2</c:v>
                </c:pt>
                <c:pt idx="22">
                  <c:v>3.2177168189505639E-2</c:v>
                </c:pt>
                <c:pt idx="23">
                  <c:v>3.2177168189505639E-2</c:v>
                </c:pt>
                <c:pt idx="24">
                  <c:v>3.2177168189505639E-2</c:v>
                </c:pt>
                <c:pt idx="25">
                  <c:v>3.2177168189505639E-2</c:v>
                </c:pt>
                <c:pt idx="26">
                  <c:v>3.2177168189505639E-2</c:v>
                </c:pt>
                <c:pt idx="27">
                  <c:v>3.2177168189505639E-2</c:v>
                </c:pt>
                <c:pt idx="28">
                  <c:v>3.2177168189505639E-2</c:v>
                </c:pt>
                <c:pt idx="29">
                  <c:v>3.2177168189505639E-2</c:v>
                </c:pt>
                <c:pt idx="30">
                  <c:v>3.2177168189505639E-2</c:v>
                </c:pt>
                <c:pt idx="31">
                  <c:v>3.2177168189505639E-2</c:v>
                </c:pt>
                <c:pt idx="32">
                  <c:v>3.2177168189505639E-2</c:v>
                </c:pt>
                <c:pt idx="33">
                  <c:v>3.2177168189505639E-2</c:v>
                </c:pt>
                <c:pt idx="34">
                  <c:v>3.2177168189505639E-2</c:v>
                </c:pt>
                <c:pt idx="35">
                  <c:v>3.2177168189505639E-2</c:v>
                </c:pt>
                <c:pt idx="36">
                  <c:v>3.2177168189505639E-2</c:v>
                </c:pt>
                <c:pt idx="37">
                  <c:v>3.2177168189505639E-2</c:v>
                </c:pt>
                <c:pt idx="38">
                  <c:v>3.2177168189505639E-2</c:v>
                </c:pt>
                <c:pt idx="39">
                  <c:v>3.2177168189505639E-2</c:v>
                </c:pt>
                <c:pt idx="40">
                  <c:v>3.2177168189505639E-2</c:v>
                </c:pt>
                <c:pt idx="41">
                  <c:v>3.2177168189505639E-2</c:v>
                </c:pt>
                <c:pt idx="42">
                  <c:v>3.2177168189505639E-2</c:v>
                </c:pt>
                <c:pt idx="43">
                  <c:v>3.2177168189505639E-2</c:v>
                </c:pt>
                <c:pt idx="44">
                  <c:v>3.2177168189505639E-2</c:v>
                </c:pt>
                <c:pt idx="45">
                  <c:v>3.2177168189505639E-2</c:v>
                </c:pt>
                <c:pt idx="46">
                  <c:v>3.2177168189505639E-2</c:v>
                </c:pt>
                <c:pt idx="47">
                  <c:v>3.2177168189505639E-2</c:v>
                </c:pt>
                <c:pt idx="48">
                  <c:v>3.2177168189505639E-2</c:v>
                </c:pt>
                <c:pt idx="49">
                  <c:v>3.2177168189505639E-2</c:v>
                </c:pt>
                <c:pt idx="50">
                  <c:v>3.2177168189505639E-2</c:v>
                </c:pt>
                <c:pt idx="51">
                  <c:v>3.2177168189505639E-2</c:v>
                </c:pt>
                <c:pt idx="52">
                  <c:v>3.2177168189505639E-2</c:v>
                </c:pt>
                <c:pt idx="53">
                  <c:v>3.2177168189505639E-2</c:v>
                </c:pt>
                <c:pt idx="54">
                  <c:v>3.2177168189505639E-2</c:v>
                </c:pt>
                <c:pt idx="55">
                  <c:v>3.2177168189505639E-2</c:v>
                </c:pt>
                <c:pt idx="56">
                  <c:v>3.2177168189505639E-2</c:v>
                </c:pt>
                <c:pt idx="57">
                  <c:v>3.2177168189505639E-2</c:v>
                </c:pt>
                <c:pt idx="58">
                  <c:v>3.2177168189505639E-2</c:v>
                </c:pt>
                <c:pt idx="59">
                  <c:v>3.2177168189505639E-2</c:v>
                </c:pt>
                <c:pt idx="60">
                  <c:v>3.2177168189505639E-2</c:v>
                </c:pt>
                <c:pt idx="61">
                  <c:v>3.2177168189505639E-2</c:v>
                </c:pt>
                <c:pt idx="62">
                  <c:v>3.2177168189505639E-2</c:v>
                </c:pt>
                <c:pt idx="63">
                  <c:v>3.2177168189505639E-2</c:v>
                </c:pt>
                <c:pt idx="64">
                  <c:v>3.2177168189505639E-2</c:v>
                </c:pt>
                <c:pt idx="65">
                  <c:v>3.2177168189505639E-2</c:v>
                </c:pt>
                <c:pt idx="66">
                  <c:v>3.2177168189505639E-2</c:v>
                </c:pt>
                <c:pt idx="67">
                  <c:v>3.2177168189505639E-2</c:v>
                </c:pt>
                <c:pt idx="68">
                  <c:v>3.2177168189505639E-2</c:v>
                </c:pt>
                <c:pt idx="69">
                  <c:v>3.2177168189505639E-2</c:v>
                </c:pt>
                <c:pt idx="70">
                  <c:v>3.2177168189505639E-2</c:v>
                </c:pt>
                <c:pt idx="71">
                  <c:v>3.2177168189505639E-2</c:v>
                </c:pt>
                <c:pt idx="72">
                  <c:v>3.2177168189505639E-2</c:v>
                </c:pt>
                <c:pt idx="73">
                  <c:v>3.2177168189505639E-2</c:v>
                </c:pt>
                <c:pt idx="74">
                  <c:v>3.2177168189505639E-2</c:v>
                </c:pt>
                <c:pt idx="75">
                  <c:v>3.2177168189505639E-2</c:v>
                </c:pt>
                <c:pt idx="76">
                  <c:v>3.2177168189505639E-2</c:v>
                </c:pt>
                <c:pt idx="77">
                  <c:v>3.2177168189505639E-2</c:v>
                </c:pt>
                <c:pt idx="78">
                  <c:v>3.2177168189505639E-2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1E-4557-BE94-DECA6344E8BA}"/>
            </c:ext>
          </c:extLst>
        </c:ser>
        <c:ser>
          <c:idx val="3"/>
          <c:order val="3"/>
          <c:tx>
            <c:strRef>
              <c:f>Formule!$S$45</c:f>
              <c:strCache>
                <c:ptCount val="1"/>
                <c:pt idx="0">
                  <c:v>LCLr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val>
            <c:numRef>
              <c:f>Formule!$T$45:$CT$45</c:f>
              <c:numCache>
                <c:formatCode>General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1E-4557-BE94-DECA6344E8BA}"/>
            </c:ext>
          </c:extLst>
        </c:ser>
        <c:ser>
          <c:idx val="4"/>
          <c:order val="4"/>
          <c:tx>
            <c:strRef>
              <c:f>Formule!$S$150</c:f>
              <c:strCache>
                <c:ptCount val="1"/>
                <c:pt idx="0">
                  <c:v>UCLRxtnd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Formule!$T$150:$CT$150</c:f>
              <c:numCache>
                <c:formatCode>General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1E-4557-BE94-DECA6344E8BA}"/>
            </c:ext>
          </c:extLst>
        </c:ser>
        <c:ser>
          <c:idx val="5"/>
          <c:order val="5"/>
          <c:tx>
            <c:strRef>
              <c:f>Formule!$S$151</c:f>
              <c:strCache>
                <c:ptCount val="1"/>
                <c:pt idx="0">
                  <c:v>AveRxtnd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val>
            <c:numRef>
              <c:f>Formule!$S$151:$CT$151</c:f>
              <c:numCache>
                <c:formatCode>General</c:formatCode>
                <c:ptCount val="80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1E-4557-BE94-DECA6344E8BA}"/>
            </c:ext>
          </c:extLst>
        </c:ser>
        <c:ser>
          <c:idx val="6"/>
          <c:order val="6"/>
          <c:tx>
            <c:strRef>
              <c:f>Formule!$S$152</c:f>
              <c:strCache>
                <c:ptCount val="1"/>
                <c:pt idx="0">
                  <c:v>LCLRxtnd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Formule!$T$152:$CT$152</c:f>
              <c:numCache>
                <c:formatCode>General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1E-4557-BE94-DECA6344E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9040"/>
        <c:axId val="32129024"/>
      </c:lineChart>
      <c:catAx>
        <c:axId val="32119040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numFmt formatCode="#,##0" sourceLinked="0"/>
        <c:majorTickMark val="out"/>
        <c:minorTickMark val="none"/>
        <c:tickLblPos val="nextTo"/>
        <c:crossAx val="32129024"/>
        <c:crosses val="autoZero"/>
        <c:auto val="1"/>
        <c:lblAlgn val="ctr"/>
        <c:lblOffset val="1"/>
        <c:tickLblSkip val="1"/>
        <c:tickMarkSkip val="1"/>
        <c:noMultiLvlLbl val="0"/>
      </c:catAx>
      <c:valAx>
        <c:axId val="32129024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11904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53690009281161E-2"/>
          <c:y val="3.8129208414738339E-2"/>
          <c:w val="0.97388113047767699"/>
          <c:h val="0.87273243804710021"/>
        </c:manualLayout>
      </c:layout>
      <c:lineChart>
        <c:grouping val="standard"/>
        <c:varyColors val="0"/>
        <c:ser>
          <c:idx val="1"/>
          <c:order val="0"/>
          <c:tx>
            <c:strRef>
              <c:f>Formule!$W$33</c:f>
              <c:strCache>
                <c:ptCount val="1"/>
                <c:pt idx="0">
                  <c:v>UCLx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Formule!$T$40:$CT$40</c:f>
              <c:numCache>
                <c:formatCode>0.00</c:formatCode>
                <c:ptCount val="79"/>
                <c:pt idx="0">
                  <c:v>17.247152839795543</c:v>
                </c:pt>
                <c:pt idx="1">
                  <c:v>17.247152839795543</c:v>
                </c:pt>
                <c:pt idx="2">
                  <c:v>17.247152839795543</c:v>
                </c:pt>
                <c:pt idx="3">
                  <c:v>17.247152839795543</c:v>
                </c:pt>
                <c:pt idx="4">
                  <c:v>17.247152839795543</c:v>
                </c:pt>
                <c:pt idx="5">
                  <c:v>17.247152839795543</c:v>
                </c:pt>
                <c:pt idx="6">
                  <c:v>17.247152839795543</c:v>
                </c:pt>
                <c:pt idx="7">
                  <c:v>17.247152839795543</c:v>
                </c:pt>
                <c:pt idx="8">
                  <c:v>17.247152839795543</c:v>
                </c:pt>
                <c:pt idx="9">
                  <c:v>17.247152839795543</c:v>
                </c:pt>
                <c:pt idx="10">
                  <c:v>17.247152839795543</c:v>
                </c:pt>
                <c:pt idx="11">
                  <c:v>17.247152839795543</c:v>
                </c:pt>
                <c:pt idx="12">
                  <c:v>17.247152839795543</c:v>
                </c:pt>
                <c:pt idx="13">
                  <c:v>17.247152839795543</c:v>
                </c:pt>
                <c:pt idx="14">
                  <c:v>17.247152839795543</c:v>
                </c:pt>
                <c:pt idx="15">
                  <c:v>17.247152839795543</c:v>
                </c:pt>
                <c:pt idx="16">
                  <c:v>17.247152839795543</c:v>
                </c:pt>
                <c:pt idx="17">
                  <c:v>17.247152839795543</c:v>
                </c:pt>
                <c:pt idx="18">
                  <c:v>17.247152839795543</c:v>
                </c:pt>
                <c:pt idx="19">
                  <c:v>17.247152839795543</c:v>
                </c:pt>
                <c:pt idx="20">
                  <c:v>17.247152839795543</c:v>
                </c:pt>
                <c:pt idx="21">
                  <c:v>17.247152839795543</c:v>
                </c:pt>
                <c:pt idx="22">
                  <c:v>17.247152839795543</c:v>
                </c:pt>
                <c:pt idx="23">
                  <c:v>17.247152839795543</c:v>
                </c:pt>
                <c:pt idx="24">
                  <c:v>17.247152839795543</c:v>
                </c:pt>
                <c:pt idx="25">
                  <c:v>17.247152839795543</c:v>
                </c:pt>
                <c:pt idx="26">
                  <c:v>17.247152839795543</c:v>
                </c:pt>
                <c:pt idx="27">
                  <c:v>17.247152839795543</c:v>
                </c:pt>
                <c:pt idx="28">
                  <c:v>17.247152839795543</c:v>
                </c:pt>
                <c:pt idx="29">
                  <c:v>17.247152839795543</c:v>
                </c:pt>
                <c:pt idx="30">
                  <c:v>17.247152839795543</c:v>
                </c:pt>
                <c:pt idx="31">
                  <c:v>17.247152839795543</c:v>
                </c:pt>
                <c:pt idx="32">
                  <c:v>17.247152839795543</c:v>
                </c:pt>
                <c:pt idx="33">
                  <c:v>17.247152839795543</c:v>
                </c:pt>
                <c:pt idx="34">
                  <c:v>17.247152839795543</c:v>
                </c:pt>
                <c:pt idx="35">
                  <c:v>17.247152839795543</c:v>
                </c:pt>
                <c:pt idx="36">
                  <c:v>17.247152839795543</c:v>
                </c:pt>
                <c:pt idx="37">
                  <c:v>17.247152839795543</c:v>
                </c:pt>
                <c:pt idx="38">
                  <c:v>17.247152839795543</c:v>
                </c:pt>
                <c:pt idx="39">
                  <c:v>17.247152839795543</c:v>
                </c:pt>
                <c:pt idx="40">
                  <c:v>17.247152839795543</c:v>
                </c:pt>
                <c:pt idx="41">
                  <c:v>17.247152839795543</c:v>
                </c:pt>
                <c:pt idx="42">
                  <c:v>17.247152839795543</c:v>
                </c:pt>
                <c:pt idx="43">
                  <c:v>17.247152839795543</c:v>
                </c:pt>
                <c:pt idx="44">
                  <c:v>17.247152839795543</c:v>
                </c:pt>
                <c:pt idx="45">
                  <c:v>17.247152839795543</c:v>
                </c:pt>
                <c:pt idx="46">
                  <c:v>17.247152839795543</c:v>
                </c:pt>
                <c:pt idx="47">
                  <c:v>17.247152839795543</c:v>
                </c:pt>
                <c:pt idx="48">
                  <c:v>17.247152839795543</c:v>
                </c:pt>
                <c:pt idx="49">
                  <c:v>17.247152839795543</c:v>
                </c:pt>
                <c:pt idx="50">
                  <c:v>17.247152839795543</c:v>
                </c:pt>
                <c:pt idx="51">
                  <c:v>17.247152839795543</c:v>
                </c:pt>
                <c:pt idx="52">
                  <c:v>17.247152839795543</c:v>
                </c:pt>
                <c:pt idx="53">
                  <c:v>17.247152839795543</c:v>
                </c:pt>
                <c:pt idx="54">
                  <c:v>17.247152839795543</c:v>
                </c:pt>
                <c:pt idx="55">
                  <c:v>17.247152839795543</c:v>
                </c:pt>
                <c:pt idx="56">
                  <c:v>17.247152839795543</c:v>
                </c:pt>
                <c:pt idx="57">
                  <c:v>17.247152839795543</c:v>
                </c:pt>
                <c:pt idx="58">
                  <c:v>17.247152839795543</c:v>
                </c:pt>
                <c:pt idx="59">
                  <c:v>17.247152839795543</c:v>
                </c:pt>
                <c:pt idx="60">
                  <c:v>17.247152839795543</c:v>
                </c:pt>
                <c:pt idx="61">
                  <c:v>17.247152839795543</c:v>
                </c:pt>
                <c:pt idx="62">
                  <c:v>17.247152839795543</c:v>
                </c:pt>
                <c:pt idx="63">
                  <c:v>17.247152839795543</c:v>
                </c:pt>
                <c:pt idx="64">
                  <c:v>17.247152839795543</c:v>
                </c:pt>
                <c:pt idx="65">
                  <c:v>17.247152839795543</c:v>
                </c:pt>
                <c:pt idx="66">
                  <c:v>17.247152839795543</c:v>
                </c:pt>
                <c:pt idx="67">
                  <c:v>17.247152839795543</c:v>
                </c:pt>
                <c:pt idx="68">
                  <c:v>17.247152839795543</c:v>
                </c:pt>
                <c:pt idx="69">
                  <c:v>17.247152839795543</c:v>
                </c:pt>
                <c:pt idx="70">
                  <c:v>17.247152839795543</c:v>
                </c:pt>
                <c:pt idx="71">
                  <c:v>17.247152839795543</c:v>
                </c:pt>
                <c:pt idx="72">
                  <c:v>17.247152839795543</c:v>
                </c:pt>
                <c:pt idx="73">
                  <c:v>17.247152839795543</c:v>
                </c:pt>
                <c:pt idx="74">
                  <c:v>17.247152839795543</c:v>
                </c:pt>
                <c:pt idx="75">
                  <c:v>17.247152839795543</c:v>
                </c:pt>
                <c:pt idx="76">
                  <c:v>17.247152839795543</c:v>
                </c:pt>
                <c:pt idx="77">
                  <c:v>17.247152839795543</c:v>
                </c:pt>
                <c:pt idx="78">
                  <c:v>17.247152839795543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55-4850-B29C-5AB48CC93DDF}"/>
            </c:ext>
          </c:extLst>
        </c:ser>
        <c:ser>
          <c:idx val="2"/>
          <c:order val="1"/>
          <c:tx>
            <c:strRef>
              <c:f>Formule!$S$41</c:f>
              <c:strCache>
                <c:ptCount val="1"/>
                <c:pt idx="0">
                  <c:v>AveX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none"/>
          </c:marker>
          <c:val>
            <c:numRef>
              <c:f>Formule!$T$41:$CT$41</c:f>
              <c:numCache>
                <c:formatCode>0.00</c:formatCode>
                <c:ptCount val="79"/>
                <c:pt idx="0">
                  <c:v>17.228586613750199</c:v>
                </c:pt>
                <c:pt idx="1">
                  <c:v>17.228586613750199</c:v>
                </c:pt>
                <c:pt idx="2">
                  <c:v>17.228586613750199</c:v>
                </c:pt>
                <c:pt idx="3">
                  <c:v>17.228586613750199</c:v>
                </c:pt>
                <c:pt idx="4">
                  <c:v>17.228586613750199</c:v>
                </c:pt>
                <c:pt idx="5">
                  <c:v>17.228586613750199</c:v>
                </c:pt>
                <c:pt idx="6">
                  <c:v>17.228586613750199</c:v>
                </c:pt>
                <c:pt idx="7">
                  <c:v>17.228586613750199</c:v>
                </c:pt>
                <c:pt idx="8">
                  <c:v>17.228586613750199</c:v>
                </c:pt>
                <c:pt idx="9">
                  <c:v>17.228586613750199</c:v>
                </c:pt>
                <c:pt idx="10">
                  <c:v>17.228586613750199</c:v>
                </c:pt>
                <c:pt idx="11">
                  <c:v>17.228586613750199</c:v>
                </c:pt>
                <c:pt idx="12">
                  <c:v>17.228586613750199</c:v>
                </c:pt>
                <c:pt idx="13">
                  <c:v>17.228586613750199</c:v>
                </c:pt>
                <c:pt idx="14">
                  <c:v>17.228586613750199</c:v>
                </c:pt>
                <c:pt idx="15">
                  <c:v>17.228586613750199</c:v>
                </c:pt>
                <c:pt idx="16">
                  <c:v>17.228586613750199</c:v>
                </c:pt>
                <c:pt idx="17">
                  <c:v>17.228586613750199</c:v>
                </c:pt>
                <c:pt idx="18">
                  <c:v>17.228586613750199</c:v>
                </c:pt>
                <c:pt idx="19">
                  <c:v>17.228586613750199</c:v>
                </c:pt>
                <c:pt idx="20">
                  <c:v>17.228586613750199</c:v>
                </c:pt>
                <c:pt idx="21">
                  <c:v>17.228586613750199</c:v>
                </c:pt>
                <c:pt idx="22">
                  <c:v>17.228586613750199</c:v>
                </c:pt>
                <c:pt idx="23">
                  <c:v>17.228586613750199</c:v>
                </c:pt>
                <c:pt idx="24">
                  <c:v>17.228586613750199</c:v>
                </c:pt>
                <c:pt idx="25">
                  <c:v>17.228586613750199</c:v>
                </c:pt>
                <c:pt idx="26">
                  <c:v>17.228586613750199</c:v>
                </c:pt>
                <c:pt idx="27">
                  <c:v>17.228586613750199</c:v>
                </c:pt>
                <c:pt idx="28">
                  <c:v>17.228586613750199</c:v>
                </c:pt>
                <c:pt idx="29">
                  <c:v>17.228586613750199</c:v>
                </c:pt>
                <c:pt idx="30">
                  <c:v>17.228586613750199</c:v>
                </c:pt>
                <c:pt idx="31">
                  <c:v>17.228586613750199</c:v>
                </c:pt>
                <c:pt idx="32">
                  <c:v>17.228586613750199</c:v>
                </c:pt>
                <c:pt idx="33">
                  <c:v>17.228586613750199</c:v>
                </c:pt>
                <c:pt idx="34">
                  <c:v>17.228586613750199</c:v>
                </c:pt>
                <c:pt idx="35">
                  <c:v>17.228586613750199</c:v>
                </c:pt>
                <c:pt idx="36">
                  <c:v>17.228586613750199</c:v>
                </c:pt>
                <c:pt idx="37">
                  <c:v>17.228586613750199</c:v>
                </c:pt>
                <c:pt idx="38">
                  <c:v>17.228586613750199</c:v>
                </c:pt>
                <c:pt idx="39">
                  <c:v>17.228586613750199</c:v>
                </c:pt>
                <c:pt idx="40">
                  <c:v>17.228586613750199</c:v>
                </c:pt>
                <c:pt idx="41">
                  <c:v>17.228586613750199</c:v>
                </c:pt>
                <c:pt idx="42">
                  <c:v>17.228586613750199</c:v>
                </c:pt>
                <c:pt idx="43">
                  <c:v>17.228586613750199</c:v>
                </c:pt>
                <c:pt idx="44">
                  <c:v>17.228586613750199</c:v>
                </c:pt>
                <c:pt idx="45">
                  <c:v>17.228586613750199</c:v>
                </c:pt>
                <c:pt idx="46">
                  <c:v>17.228586613750199</c:v>
                </c:pt>
                <c:pt idx="47">
                  <c:v>17.228586613750199</c:v>
                </c:pt>
                <c:pt idx="48">
                  <c:v>17.228586613750199</c:v>
                </c:pt>
                <c:pt idx="49">
                  <c:v>17.228586613750199</c:v>
                </c:pt>
                <c:pt idx="50">
                  <c:v>17.228586613750199</c:v>
                </c:pt>
                <c:pt idx="51">
                  <c:v>17.228586613750199</c:v>
                </c:pt>
                <c:pt idx="52">
                  <c:v>17.228586613750199</c:v>
                </c:pt>
                <c:pt idx="53">
                  <c:v>17.228586613750199</c:v>
                </c:pt>
                <c:pt idx="54">
                  <c:v>17.228586613750199</c:v>
                </c:pt>
                <c:pt idx="55">
                  <c:v>17.228586613750199</c:v>
                </c:pt>
                <c:pt idx="56">
                  <c:v>17.228586613750199</c:v>
                </c:pt>
                <c:pt idx="57">
                  <c:v>17.228586613750199</c:v>
                </c:pt>
                <c:pt idx="58">
                  <c:v>17.228586613750199</c:v>
                </c:pt>
                <c:pt idx="59">
                  <c:v>17.228586613750199</c:v>
                </c:pt>
                <c:pt idx="60">
                  <c:v>17.228586613750199</c:v>
                </c:pt>
                <c:pt idx="61">
                  <c:v>17.228586613750199</c:v>
                </c:pt>
                <c:pt idx="62">
                  <c:v>17.228586613750199</c:v>
                </c:pt>
                <c:pt idx="63">
                  <c:v>17.228586613750199</c:v>
                </c:pt>
                <c:pt idx="64">
                  <c:v>17.228586613750199</c:v>
                </c:pt>
                <c:pt idx="65">
                  <c:v>17.228586613750199</c:v>
                </c:pt>
                <c:pt idx="66">
                  <c:v>17.228586613750199</c:v>
                </c:pt>
                <c:pt idx="67">
                  <c:v>17.228586613750199</c:v>
                </c:pt>
                <c:pt idx="68">
                  <c:v>17.228586613750199</c:v>
                </c:pt>
                <c:pt idx="69">
                  <c:v>17.228586613750199</c:v>
                </c:pt>
                <c:pt idx="70">
                  <c:v>17.228586613750199</c:v>
                </c:pt>
                <c:pt idx="71">
                  <c:v>17.228586613750199</c:v>
                </c:pt>
                <c:pt idx="72">
                  <c:v>17.228586613750199</c:v>
                </c:pt>
                <c:pt idx="73">
                  <c:v>17.228586613750199</c:v>
                </c:pt>
                <c:pt idx="74">
                  <c:v>17.228586613750199</c:v>
                </c:pt>
                <c:pt idx="75">
                  <c:v>17.228586613750199</c:v>
                </c:pt>
                <c:pt idx="76">
                  <c:v>17.228586613750199</c:v>
                </c:pt>
                <c:pt idx="77">
                  <c:v>17.228586613750199</c:v>
                </c:pt>
                <c:pt idx="78">
                  <c:v>17.228586613750199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5-4850-B29C-5AB48CC93DDF}"/>
            </c:ext>
          </c:extLst>
        </c:ser>
        <c:ser>
          <c:idx val="3"/>
          <c:order val="2"/>
          <c:tx>
            <c:strRef>
              <c:f>Formule!$S$42</c:f>
              <c:strCache>
                <c:ptCount val="1"/>
                <c:pt idx="0">
                  <c:v>LCLx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Formule!$T$42:$CT$42</c:f>
              <c:numCache>
                <c:formatCode>0.00</c:formatCode>
                <c:ptCount val="79"/>
                <c:pt idx="0">
                  <c:v>17.210020387704855</c:v>
                </c:pt>
                <c:pt idx="1">
                  <c:v>17.210020387704855</c:v>
                </c:pt>
                <c:pt idx="2">
                  <c:v>17.210020387704855</c:v>
                </c:pt>
                <c:pt idx="3">
                  <c:v>17.210020387704855</c:v>
                </c:pt>
                <c:pt idx="4">
                  <c:v>17.210020387704855</c:v>
                </c:pt>
                <c:pt idx="5">
                  <c:v>17.210020387704855</c:v>
                </c:pt>
                <c:pt idx="6">
                  <c:v>17.210020387704855</c:v>
                </c:pt>
                <c:pt idx="7">
                  <c:v>17.210020387704855</c:v>
                </c:pt>
                <c:pt idx="8">
                  <c:v>17.210020387704855</c:v>
                </c:pt>
                <c:pt idx="9">
                  <c:v>17.210020387704855</c:v>
                </c:pt>
                <c:pt idx="10">
                  <c:v>17.210020387704855</c:v>
                </c:pt>
                <c:pt idx="11">
                  <c:v>17.210020387704855</c:v>
                </c:pt>
                <c:pt idx="12">
                  <c:v>17.210020387704855</c:v>
                </c:pt>
                <c:pt idx="13">
                  <c:v>17.210020387704855</c:v>
                </c:pt>
                <c:pt idx="14">
                  <c:v>17.210020387704855</c:v>
                </c:pt>
                <c:pt idx="15">
                  <c:v>17.210020387704855</c:v>
                </c:pt>
                <c:pt idx="16">
                  <c:v>17.210020387704855</c:v>
                </c:pt>
                <c:pt idx="17">
                  <c:v>17.210020387704855</c:v>
                </c:pt>
                <c:pt idx="18">
                  <c:v>17.210020387704855</c:v>
                </c:pt>
                <c:pt idx="19">
                  <c:v>17.210020387704855</c:v>
                </c:pt>
                <c:pt idx="20">
                  <c:v>17.210020387704855</c:v>
                </c:pt>
                <c:pt idx="21">
                  <c:v>17.210020387704855</c:v>
                </c:pt>
                <c:pt idx="22">
                  <c:v>17.210020387704855</c:v>
                </c:pt>
                <c:pt idx="23">
                  <c:v>17.210020387704855</c:v>
                </c:pt>
                <c:pt idx="24">
                  <c:v>17.210020387704855</c:v>
                </c:pt>
                <c:pt idx="25">
                  <c:v>17.210020387704855</c:v>
                </c:pt>
                <c:pt idx="26">
                  <c:v>17.210020387704855</c:v>
                </c:pt>
                <c:pt idx="27">
                  <c:v>17.210020387704855</c:v>
                </c:pt>
                <c:pt idx="28">
                  <c:v>17.210020387704855</c:v>
                </c:pt>
                <c:pt idx="29">
                  <c:v>17.210020387704855</c:v>
                </c:pt>
                <c:pt idx="30">
                  <c:v>17.210020387704855</c:v>
                </c:pt>
                <c:pt idx="31">
                  <c:v>17.210020387704855</c:v>
                </c:pt>
                <c:pt idx="32">
                  <c:v>17.210020387704855</c:v>
                </c:pt>
                <c:pt idx="33">
                  <c:v>17.210020387704855</c:v>
                </c:pt>
                <c:pt idx="34">
                  <c:v>17.210020387704855</c:v>
                </c:pt>
                <c:pt idx="35">
                  <c:v>17.210020387704855</c:v>
                </c:pt>
                <c:pt idx="36">
                  <c:v>17.210020387704855</c:v>
                </c:pt>
                <c:pt idx="37">
                  <c:v>17.210020387704855</c:v>
                </c:pt>
                <c:pt idx="38">
                  <c:v>17.210020387704855</c:v>
                </c:pt>
                <c:pt idx="39">
                  <c:v>17.210020387704855</c:v>
                </c:pt>
                <c:pt idx="40">
                  <c:v>17.210020387704855</c:v>
                </c:pt>
                <c:pt idx="41">
                  <c:v>17.210020387704855</c:v>
                </c:pt>
                <c:pt idx="42">
                  <c:v>17.210020387704855</c:v>
                </c:pt>
                <c:pt idx="43">
                  <c:v>17.210020387704855</c:v>
                </c:pt>
                <c:pt idx="44">
                  <c:v>17.210020387704855</c:v>
                </c:pt>
                <c:pt idx="45">
                  <c:v>17.210020387704855</c:v>
                </c:pt>
                <c:pt idx="46">
                  <c:v>17.210020387704855</c:v>
                </c:pt>
                <c:pt idx="47">
                  <c:v>17.210020387704855</c:v>
                </c:pt>
                <c:pt idx="48">
                  <c:v>17.210020387704855</c:v>
                </c:pt>
                <c:pt idx="49">
                  <c:v>17.210020387704855</c:v>
                </c:pt>
                <c:pt idx="50">
                  <c:v>17.210020387704855</c:v>
                </c:pt>
                <c:pt idx="51">
                  <c:v>17.210020387704855</c:v>
                </c:pt>
                <c:pt idx="52">
                  <c:v>17.210020387704855</c:v>
                </c:pt>
                <c:pt idx="53">
                  <c:v>17.210020387704855</c:v>
                </c:pt>
                <c:pt idx="54">
                  <c:v>17.210020387704855</c:v>
                </c:pt>
                <c:pt idx="55">
                  <c:v>17.210020387704855</c:v>
                </c:pt>
                <c:pt idx="56">
                  <c:v>17.210020387704855</c:v>
                </c:pt>
                <c:pt idx="57">
                  <c:v>17.210020387704855</c:v>
                </c:pt>
                <c:pt idx="58">
                  <c:v>17.210020387704855</c:v>
                </c:pt>
                <c:pt idx="59">
                  <c:v>17.210020387704855</c:v>
                </c:pt>
                <c:pt idx="60">
                  <c:v>17.210020387704855</c:v>
                </c:pt>
                <c:pt idx="61">
                  <c:v>17.210020387704855</c:v>
                </c:pt>
                <c:pt idx="62">
                  <c:v>17.210020387704855</c:v>
                </c:pt>
                <c:pt idx="63">
                  <c:v>17.210020387704855</c:v>
                </c:pt>
                <c:pt idx="64">
                  <c:v>17.210020387704855</c:v>
                </c:pt>
                <c:pt idx="65">
                  <c:v>17.210020387704855</c:v>
                </c:pt>
                <c:pt idx="66">
                  <c:v>17.210020387704855</c:v>
                </c:pt>
                <c:pt idx="67">
                  <c:v>17.210020387704855</c:v>
                </c:pt>
                <c:pt idx="68">
                  <c:v>17.210020387704855</c:v>
                </c:pt>
                <c:pt idx="69">
                  <c:v>17.210020387704855</c:v>
                </c:pt>
                <c:pt idx="70">
                  <c:v>17.210020387704855</c:v>
                </c:pt>
                <c:pt idx="71">
                  <c:v>17.210020387704855</c:v>
                </c:pt>
                <c:pt idx="72">
                  <c:v>17.210020387704855</c:v>
                </c:pt>
                <c:pt idx="73">
                  <c:v>17.210020387704855</c:v>
                </c:pt>
                <c:pt idx="74">
                  <c:v>17.210020387704855</c:v>
                </c:pt>
                <c:pt idx="75">
                  <c:v>17.210020387704855</c:v>
                </c:pt>
                <c:pt idx="76">
                  <c:v>17.210020387704855</c:v>
                </c:pt>
                <c:pt idx="77">
                  <c:v>17.210020387704855</c:v>
                </c:pt>
                <c:pt idx="78">
                  <c:v>17.210020387704855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55-4850-B29C-5AB48CC93DDF}"/>
            </c:ext>
          </c:extLst>
        </c:ser>
        <c:ser>
          <c:idx val="4"/>
          <c:order val="3"/>
          <c:tx>
            <c:strRef>
              <c:f>Formule!$S$147</c:f>
              <c:strCache>
                <c:ptCount val="1"/>
                <c:pt idx="0">
                  <c:v>UCLXxtnd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Formule!$T$147:$CT$147</c:f>
              <c:numCache>
                <c:formatCode>General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55-4850-B29C-5AB48CC93DDF}"/>
            </c:ext>
          </c:extLst>
        </c:ser>
        <c:ser>
          <c:idx val="5"/>
          <c:order val="4"/>
          <c:tx>
            <c:strRef>
              <c:f>Formule!$S$148</c:f>
              <c:strCache>
                <c:ptCount val="1"/>
                <c:pt idx="0">
                  <c:v>AveXxtnd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val>
            <c:numRef>
              <c:f>Formule!$T$148:$CT$148</c:f>
              <c:numCache>
                <c:formatCode>General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55-4850-B29C-5AB48CC93DDF}"/>
            </c:ext>
          </c:extLst>
        </c:ser>
        <c:ser>
          <c:idx val="6"/>
          <c:order val="5"/>
          <c:tx>
            <c:strRef>
              <c:f>Formule!$S$149</c:f>
              <c:strCache>
                <c:ptCount val="1"/>
                <c:pt idx="0">
                  <c:v>LCLXxtnd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Formule!$T$149:$CT$149</c:f>
              <c:numCache>
                <c:formatCode>General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B55-4850-B29C-5AB48CC93DDF}"/>
            </c:ext>
          </c:extLst>
        </c:ser>
        <c:ser>
          <c:idx val="0"/>
          <c:order val="6"/>
          <c:tx>
            <c:strRef>
              <c:f>Formule!$S$86</c:f>
              <c:strCache>
                <c:ptCount val="1"/>
                <c:pt idx="0">
                  <c:v>Data Xxbar&amp;r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Formule!$T$86:$CT$86</c:f>
              <c:numCache>
                <c:formatCode>0.000</c:formatCode>
                <c:ptCount val="79"/>
                <c:pt idx="0">
                  <c:v>17.223772299417032</c:v>
                </c:pt>
                <c:pt idx="1">
                  <c:v>17.232445480875615</c:v>
                </c:pt>
                <c:pt idx="2">
                  <c:v>17.222663910821439</c:v>
                </c:pt>
                <c:pt idx="3">
                  <c:v>17.236359515325198</c:v>
                </c:pt>
                <c:pt idx="4">
                  <c:v>17.223772299417032</c:v>
                </c:pt>
                <c:pt idx="5">
                  <c:v>17.232445480875615</c:v>
                </c:pt>
                <c:pt idx="6">
                  <c:v>17.222663910821439</c:v>
                </c:pt>
                <c:pt idx="7">
                  <c:v>17.236359515325198</c:v>
                </c:pt>
                <c:pt idx="8">
                  <c:v>17.223772299417032</c:v>
                </c:pt>
                <c:pt idx="9">
                  <c:v>17.232445480875615</c:v>
                </c:pt>
                <c:pt idx="10">
                  <c:v>17.222663910821439</c:v>
                </c:pt>
                <c:pt idx="11">
                  <c:v>17.236359515325198</c:v>
                </c:pt>
                <c:pt idx="12">
                  <c:v>17.223772299417032</c:v>
                </c:pt>
                <c:pt idx="13">
                  <c:v>17.232445480875615</c:v>
                </c:pt>
                <c:pt idx="14">
                  <c:v>17.222663910821439</c:v>
                </c:pt>
                <c:pt idx="15">
                  <c:v>17.236359515325198</c:v>
                </c:pt>
                <c:pt idx="16">
                  <c:v>17.223772299417032</c:v>
                </c:pt>
                <c:pt idx="17">
                  <c:v>17.232445480875615</c:v>
                </c:pt>
                <c:pt idx="18">
                  <c:v>17.222663910821439</c:v>
                </c:pt>
                <c:pt idx="19">
                  <c:v>17.236359515325198</c:v>
                </c:pt>
                <c:pt idx="20">
                  <c:v>17.223772299417032</c:v>
                </c:pt>
                <c:pt idx="21">
                  <c:v>17.232445480875615</c:v>
                </c:pt>
                <c:pt idx="22">
                  <c:v>17.222663910821439</c:v>
                </c:pt>
                <c:pt idx="23">
                  <c:v>17.236359515325198</c:v>
                </c:pt>
                <c:pt idx="24">
                  <c:v>17.223772299417032</c:v>
                </c:pt>
                <c:pt idx="25">
                  <c:v>17.232445480875615</c:v>
                </c:pt>
                <c:pt idx="26">
                  <c:v>17.222663910821439</c:v>
                </c:pt>
                <c:pt idx="27">
                  <c:v>17.236359515325198</c:v>
                </c:pt>
                <c:pt idx="28">
                  <c:v>17.223772299417032</c:v>
                </c:pt>
                <c:pt idx="29">
                  <c:v>17.232445480875615</c:v>
                </c:pt>
                <c:pt idx="30">
                  <c:v>17.222663910821439</c:v>
                </c:pt>
                <c:pt idx="31">
                  <c:v>17.236359515325198</c:v>
                </c:pt>
                <c:pt idx="32">
                  <c:v>17.223772299417032</c:v>
                </c:pt>
                <c:pt idx="33">
                  <c:v>17.232445480875615</c:v>
                </c:pt>
                <c:pt idx="34">
                  <c:v>17.222663910821439</c:v>
                </c:pt>
                <c:pt idx="35">
                  <c:v>17.236359515325198</c:v>
                </c:pt>
                <c:pt idx="36">
                  <c:v>17.223772299417032</c:v>
                </c:pt>
                <c:pt idx="37">
                  <c:v>17.232445480875615</c:v>
                </c:pt>
                <c:pt idx="38">
                  <c:v>17.222663910821439</c:v>
                </c:pt>
                <c:pt idx="39">
                  <c:v>17.236359515325198</c:v>
                </c:pt>
                <c:pt idx="40">
                  <c:v>17.223772299417032</c:v>
                </c:pt>
                <c:pt idx="41">
                  <c:v>17.232445480875615</c:v>
                </c:pt>
                <c:pt idx="42">
                  <c:v>17.222663910821439</c:v>
                </c:pt>
                <c:pt idx="43">
                  <c:v>17.236359515325198</c:v>
                </c:pt>
                <c:pt idx="44">
                  <c:v>17.223772299417032</c:v>
                </c:pt>
                <c:pt idx="45">
                  <c:v>17.232445480875615</c:v>
                </c:pt>
                <c:pt idx="46">
                  <c:v>17.222663910821439</c:v>
                </c:pt>
                <c:pt idx="47">
                  <c:v>17.236359515325198</c:v>
                </c:pt>
                <c:pt idx="48">
                  <c:v>17.223772299417032</c:v>
                </c:pt>
                <c:pt idx="49">
                  <c:v>17.232445480875615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55-4850-B29C-5AB48CC93DDF}"/>
            </c:ext>
          </c:extLst>
        </c:ser>
        <c:ser>
          <c:idx val="7"/>
          <c:order val="7"/>
          <c:tx>
            <c:strRef>
              <c:f>Formule!$S$87</c:f>
              <c:strCache>
                <c:ptCount val="1"/>
                <c:pt idx="0">
                  <c:v>Data Xindiv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Formule!$T$87:$CT$87</c:f>
              <c:numCache>
                <c:formatCode>0.000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B55-4850-B29C-5AB48CC93DDF}"/>
            </c:ext>
          </c:extLst>
        </c:ser>
        <c:ser>
          <c:idx val="8"/>
          <c:order val="8"/>
          <c:tx>
            <c:strRef>
              <c:f>Formule!$S$89</c:f>
              <c:strCache>
                <c:ptCount val="1"/>
                <c:pt idx="0">
                  <c:v>Data Xmedian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Formule!$T$89:$CT$89</c:f>
              <c:numCache>
                <c:formatCode>0.000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B55-4850-B29C-5AB48CC93DDF}"/>
            </c:ext>
          </c:extLst>
        </c:ser>
        <c:ser>
          <c:idx val="9"/>
          <c:order val="9"/>
          <c:tx>
            <c:strRef>
              <c:f>Formule!$S$37</c:f>
              <c:strCache>
                <c:ptCount val="1"/>
                <c:pt idx="0">
                  <c:v>USL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Formule!$T$37:$CT$37</c:f>
              <c:numCache>
                <c:formatCode>0.00</c:formatCode>
                <c:ptCount val="79"/>
                <c:pt idx="0">
                  <c:v>17.400000000000002</c:v>
                </c:pt>
                <c:pt idx="1">
                  <c:v>17.400000000000002</c:v>
                </c:pt>
                <c:pt idx="2">
                  <c:v>17.400000000000002</c:v>
                </c:pt>
                <c:pt idx="3">
                  <c:v>17.400000000000002</c:v>
                </c:pt>
                <c:pt idx="4">
                  <c:v>17.400000000000002</c:v>
                </c:pt>
                <c:pt idx="5">
                  <c:v>17.400000000000002</c:v>
                </c:pt>
                <c:pt idx="6">
                  <c:v>17.400000000000002</c:v>
                </c:pt>
                <c:pt idx="7">
                  <c:v>17.400000000000002</c:v>
                </c:pt>
                <c:pt idx="8">
                  <c:v>17.400000000000002</c:v>
                </c:pt>
                <c:pt idx="9">
                  <c:v>17.400000000000002</c:v>
                </c:pt>
                <c:pt idx="10">
                  <c:v>17.400000000000002</c:v>
                </c:pt>
                <c:pt idx="11">
                  <c:v>17.400000000000002</c:v>
                </c:pt>
                <c:pt idx="12">
                  <c:v>17.400000000000002</c:v>
                </c:pt>
                <c:pt idx="13">
                  <c:v>17.400000000000002</c:v>
                </c:pt>
                <c:pt idx="14">
                  <c:v>17.400000000000002</c:v>
                </c:pt>
                <c:pt idx="15">
                  <c:v>17.400000000000002</c:v>
                </c:pt>
                <c:pt idx="16">
                  <c:v>17.400000000000002</c:v>
                </c:pt>
                <c:pt idx="17">
                  <c:v>17.400000000000002</c:v>
                </c:pt>
                <c:pt idx="18">
                  <c:v>17.400000000000002</c:v>
                </c:pt>
                <c:pt idx="19">
                  <c:v>17.400000000000002</c:v>
                </c:pt>
                <c:pt idx="20">
                  <c:v>17.400000000000002</c:v>
                </c:pt>
                <c:pt idx="21">
                  <c:v>17.400000000000002</c:v>
                </c:pt>
                <c:pt idx="22">
                  <c:v>17.400000000000002</c:v>
                </c:pt>
                <c:pt idx="23">
                  <c:v>17.400000000000002</c:v>
                </c:pt>
                <c:pt idx="24">
                  <c:v>17.400000000000002</c:v>
                </c:pt>
                <c:pt idx="25">
                  <c:v>17.400000000000002</c:v>
                </c:pt>
                <c:pt idx="26">
                  <c:v>17.400000000000002</c:v>
                </c:pt>
                <c:pt idx="27">
                  <c:v>17.400000000000002</c:v>
                </c:pt>
                <c:pt idx="28">
                  <c:v>17.400000000000002</c:v>
                </c:pt>
                <c:pt idx="29">
                  <c:v>17.400000000000002</c:v>
                </c:pt>
                <c:pt idx="30">
                  <c:v>17.400000000000002</c:v>
                </c:pt>
                <c:pt idx="31">
                  <c:v>17.400000000000002</c:v>
                </c:pt>
                <c:pt idx="32">
                  <c:v>17.400000000000002</c:v>
                </c:pt>
                <c:pt idx="33">
                  <c:v>17.400000000000002</c:v>
                </c:pt>
                <c:pt idx="34">
                  <c:v>17.400000000000002</c:v>
                </c:pt>
                <c:pt idx="35">
                  <c:v>17.400000000000002</c:v>
                </c:pt>
                <c:pt idx="36">
                  <c:v>17.400000000000002</c:v>
                </c:pt>
                <c:pt idx="37">
                  <c:v>17.400000000000002</c:v>
                </c:pt>
                <c:pt idx="38">
                  <c:v>17.400000000000002</c:v>
                </c:pt>
                <c:pt idx="39">
                  <c:v>17.400000000000002</c:v>
                </c:pt>
                <c:pt idx="40">
                  <c:v>17.400000000000002</c:v>
                </c:pt>
                <c:pt idx="41">
                  <c:v>17.400000000000002</c:v>
                </c:pt>
                <c:pt idx="42">
                  <c:v>17.400000000000002</c:v>
                </c:pt>
                <c:pt idx="43">
                  <c:v>17.400000000000002</c:v>
                </c:pt>
                <c:pt idx="44">
                  <c:v>17.400000000000002</c:v>
                </c:pt>
                <c:pt idx="45">
                  <c:v>17.400000000000002</c:v>
                </c:pt>
                <c:pt idx="46">
                  <c:v>17.400000000000002</c:v>
                </c:pt>
                <c:pt idx="47">
                  <c:v>17.400000000000002</c:v>
                </c:pt>
                <c:pt idx="48">
                  <c:v>17.400000000000002</c:v>
                </c:pt>
                <c:pt idx="49">
                  <c:v>17.400000000000002</c:v>
                </c:pt>
                <c:pt idx="50">
                  <c:v>17.400000000000002</c:v>
                </c:pt>
                <c:pt idx="51">
                  <c:v>17.400000000000002</c:v>
                </c:pt>
                <c:pt idx="52">
                  <c:v>17.400000000000002</c:v>
                </c:pt>
                <c:pt idx="53">
                  <c:v>17.400000000000002</c:v>
                </c:pt>
                <c:pt idx="54">
                  <c:v>17.400000000000002</c:v>
                </c:pt>
                <c:pt idx="55">
                  <c:v>17.400000000000002</c:v>
                </c:pt>
                <c:pt idx="56">
                  <c:v>17.400000000000002</c:v>
                </c:pt>
                <c:pt idx="57">
                  <c:v>17.400000000000002</c:v>
                </c:pt>
                <c:pt idx="58">
                  <c:v>17.400000000000002</c:v>
                </c:pt>
                <c:pt idx="59">
                  <c:v>17.400000000000002</c:v>
                </c:pt>
                <c:pt idx="60">
                  <c:v>17.400000000000002</c:v>
                </c:pt>
                <c:pt idx="61">
                  <c:v>17.400000000000002</c:v>
                </c:pt>
                <c:pt idx="62">
                  <c:v>17.400000000000002</c:v>
                </c:pt>
                <c:pt idx="63">
                  <c:v>17.400000000000002</c:v>
                </c:pt>
                <c:pt idx="64">
                  <c:v>17.400000000000002</c:v>
                </c:pt>
                <c:pt idx="65">
                  <c:v>17.400000000000002</c:v>
                </c:pt>
                <c:pt idx="66">
                  <c:v>17.400000000000002</c:v>
                </c:pt>
                <c:pt idx="67">
                  <c:v>17.400000000000002</c:v>
                </c:pt>
                <c:pt idx="68">
                  <c:v>17.400000000000002</c:v>
                </c:pt>
                <c:pt idx="69">
                  <c:v>17.400000000000002</c:v>
                </c:pt>
                <c:pt idx="70">
                  <c:v>17.400000000000002</c:v>
                </c:pt>
                <c:pt idx="71">
                  <c:v>17.400000000000002</c:v>
                </c:pt>
                <c:pt idx="72">
                  <c:v>17.400000000000002</c:v>
                </c:pt>
                <c:pt idx="73">
                  <c:v>17.400000000000002</c:v>
                </c:pt>
                <c:pt idx="74">
                  <c:v>17.400000000000002</c:v>
                </c:pt>
                <c:pt idx="75">
                  <c:v>17.400000000000002</c:v>
                </c:pt>
                <c:pt idx="76">
                  <c:v>17.400000000000002</c:v>
                </c:pt>
                <c:pt idx="77">
                  <c:v>17.400000000000002</c:v>
                </c:pt>
                <c:pt idx="78">
                  <c:v>17.400000000000002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B55-4850-B29C-5AB48CC93DDF}"/>
            </c:ext>
          </c:extLst>
        </c:ser>
        <c:ser>
          <c:idx val="10"/>
          <c:order val="10"/>
          <c:tx>
            <c:strRef>
              <c:f>SPC!$K$2</c:f>
              <c:strCache>
                <c:ptCount val="1"/>
                <c:pt idx="0">
                  <c:v>LSL: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Formule!$T$38:$CT$38</c:f>
              <c:numCache>
                <c:formatCode>0.00</c:formatCode>
                <c:ptCount val="79"/>
                <c:pt idx="0">
                  <c:v>17.2</c:v>
                </c:pt>
                <c:pt idx="1">
                  <c:v>17.2</c:v>
                </c:pt>
                <c:pt idx="2">
                  <c:v>17.2</c:v>
                </c:pt>
                <c:pt idx="3">
                  <c:v>17.2</c:v>
                </c:pt>
                <c:pt idx="4">
                  <c:v>17.2</c:v>
                </c:pt>
                <c:pt idx="5">
                  <c:v>17.2</c:v>
                </c:pt>
                <c:pt idx="6">
                  <c:v>17.2</c:v>
                </c:pt>
                <c:pt idx="7">
                  <c:v>17.2</c:v>
                </c:pt>
                <c:pt idx="8">
                  <c:v>17.2</c:v>
                </c:pt>
                <c:pt idx="9">
                  <c:v>17.2</c:v>
                </c:pt>
                <c:pt idx="10">
                  <c:v>17.2</c:v>
                </c:pt>
                <c:pt idx="11">
                  <c:v>17.2</c:v>
                </c:pt>
                <c:pt idx="12">
                  <c:v>17.2</c:v>
                </c:pt>
                <c:pt idx="13">
                  <c:v>17.2</c:v>
                </c:pt>
                <c:pt idx="14">
                  <c:v>17.2</c:v>
                </c:pt>
                <c:pt idx="15">
                  <c:v>17.2</c:v>
                </c:pt>
                <c:pt idx="16">
                  <c:v>17.2</c:v>
                </c:pt>
                <c:pt idx="17">
                  <c:v>17.2</c:v>
                </c:pt>
                <c:pt idx="18">
                  <c:v>17.2</c:v>
                </c:pt>
                <c:pt idx="19">
                  <c:v>17.2</c:v>
                </c:pt>
                <c:pt idx="20">
                  <c:v>17.2</c:v>
                </c:pt>
                <c:pt idx="21">
                  <c:v>17.2</c:v>
                </c:pt>
                <c:pt idx="22">
                  <c:v>17.2</c:v>
                </c:pt>
                <c:pt idx="23">
                  <c:v>17.2</c:v>
                </c:pt>
                <c:pt idx="24">
                  <c:v>17.2</c:v>
                </c:pt>
                <c:pt idx="25">
                  <c:v>17.2</c:v>
                </c:pt>
                <c:pt idx="26">
                  <c:v>17.2</c:v>
                </c:pt>
                <c:pt idx="27">
                  <c:v>17.2</c:v>
                </c:pt>
                <c:pt idx="28">
                  <c:v>17.2</c:v>
                </c:pt>
                <c:pt idx="29">
                  <c:v>17.2</c:v>
                </c:pt>
                <c:pt idx="30">
                  <c:v>17.2</c:v>
                </c:pt>
                <c:pt idx="31">
                  <c:v>17.2</c:v>
                </c:pt>
                <c:pt idx="32">
                  <c:v>17.2</c:v>
                </c:pt>
                <c:pt idx="33">
                  <c:v>17.2</c:v>
                </c:pt>
                <c:pt idx="34">
                  <c:v>17.2</c:v>
                </c:pt>
                <c:pt idx="35">
                  <c:v>17.2</c:v>
                </c:pt>
                <c:pt idx="36">
                  <c:v>17.2</c:v>
                </c:pt>
                <c:pt idx="37">
                  <c:v>17.2</c:v>
                </c:pt>
                <c:pt idx="38">
                  <c:v>17.2</c:v>
                </c:pt>
                <c:pt idx="39">
                  <c:v>17.2</c:v>
                </c:pt>
                <c:pt idx="40">
                  <c:v>17.2</c:v>
                </c:pt>
                <c:pt idx="41">
                  <c:v>17.2</c:v>
                </c:pt>
                <c:pt idx="42">
                  <c:v>17.2</c:v>
                </c:pt>
                <c:pt idx="43">
                  <c:v>17.2</c:v>
                </c:pt>
                <c:pt idx="44">
                  <c:v>17.2</c:v>
                </c:pt>
                <c:pt idx="45">
                  <c:v>17.2</c:v>
                </c:pt>
                <c:pt idx="46">
                  <c:v>17.2</c:v>
                </c:pt>
                <c:pt idx="47">
                  <c:v>17.2</c:v>
                </c:pt>
                <c:pt idx="48">
                  <c:v>17.2</c:v>
                </c:pt>
                <c:pt idx="49">
                  <c:v>17.2</c:v>
                </c:pt>
                <c:pt idx="50">
                  <c:v>17.2</c:v>
                </c:pt>
                <c:pt idx="51">
                  <c:v>17.2</c:v>
                </c:pt>
                <c:pt idx="52">
                  <c:v>17.2</c:v>
                </c:pt>
                <c:pt idx="53">
                  <c:v>17.2</c:v>
                </c:pt>
                <c:pt idx="54">
                  <c:v>17.2</c:v>
                </c:pt>
                <c:pt idx="55">
                  <c:v>17.2</c:v>
                </c:pt>
                <c:pt idx="56">
                  <c:v>17.2</c:v>
                </c:pt>
                <c:pt idx="57">
                  <c:v>17.2</c:v>
                </c:pt>
                <c:pt idx="58">
                  <c:v>17.2</c:v>
                </c:pt>
                <c:pt idx="59">
                  <c:v>17.2</c:v>
                </c:pt>
                <c:pt idx="60">
                  <c:v>17.2</c:v>
                </c:pt>
                <c:pt idx="61">
                  <c:v>17.2</c:v>
                </c:pt>
                <c:pt idx="62">
                  <c:v>17.2</c:v>
                </c:pt>
                <c:pt idx="63">
                  <c:v>17.2</c:v>
                </c:pt>
                <c:pt idx="64">
                  <c:v>17.2</c:v>
                </c:pt>
                <c:pt idx="65">
                  <c:v>17.2</c:v>
                </c:pt>
                <c:pt idx="66">
                  <c:v>17.2</c:v>
                </c:pt>
                <c:pt idx="67">
                  <c:v>17.2</c:v>
                </c:pt>
                <c:pt idx="68">
                  <c:v>17.2</c:v>
                </c:pt>
                <c:pt idx="69">
                  <c:v>17.2</c:v>
                </c:pt>
                <c:pt idx="70">
                  <c:v>17.2</c:v>
                </c:pt>
                <c:pt idx="71">
                  <c:v>17.2</c:v>
                </c:pt>
                <c:pt idx="72">
                  <c:v>17.2</c:v>
                </c:pt>
                <c:pt idx="73">
                  <c:v>17.2</c:v>
                </c:pt>
                <c:pt idx="74">
                  <c:v>17.2</c:v>
                </c:pt>
                <c:pt idx="75">
                  <c:v>17.2</c:v>
                </c:pt>
                <c:pt idx="76">
                  <c:v>17.2</c:v>
                </c:pt>
                <c:pt idx="77">
                  <c:v>17.2</c:v>
                </c:pt>
                <c:pt idx="78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B55-4850-B29C-5AB48CC93DDF}"/>
            </c:ext>
          </c:extLst>
        </c:ser>
        <c:ser>
          <c:idx val="11"/>
          <c:order val="11"/>
          <c:tx>
            <c:strRef>
              <c:f>SPC!$M$2</c:f>
              <c:strCache>
                <c:ptCount val="1"/>
                <c:pt idx="0">
                  <c:v>SPEC.:</c:v>
                </c:pt>
              </c:strCache>
            </c:strRef>
          </c:tx>
          <c:spPr>
            <a:ln>
              <a:solidFill>
                <a:srgbClr val="00B050"/>
              </a:solidFill>
              <a:prstDash val="dashDot"/>
            </a:ln>
          </c:spPr>
          <c:marker>
            <c:symbol val="none"/>
          </c:marker>
          <c:val>
            <c:numRef>
              <c:f>Formule!$T$39:$CT$39</c:f>
              <c:numCache>
                <c:formatCode>0.00</c:formatCode>
                <c:ptCount val="79"/>
                <c:pt idx="0">
                  <c:v>17.3</c:v>
                </c:pt>
                <c:pt idx="1">
                  <c:v>17.3</c:v>
                </c:pt>
                <c:pt idx="2">
                  <c:v>17.3</c:v>
                </c:pt>
                <c:pt idx="3">
                  <c:v>17.3</c:v>
                </c:pt>
                <c:pt idx="4">
                  <c:v>17.3</c:v>
                </c:pt>
                <c:pt idx="5">
                  <c:v>17.3</c:v>
                </c:pt>
                <c:pt idx="6">
                  <c:v>17.3</c:v>
                </c:pt>
                <c:pt idx="7">
                  <c:v>17.3</c:v>
                </c:pt>
                <c:pt idx="8">
                  <c:v>17.3</c:v>
                </c:pt>
                <c:pt idx="9">
                  <c:v>17.3</c:v>
                </c:pt>
                <c:pt idx="10">
                  <c:v>17.3</c:v>
                </c:pt>
                <c:pt idx="11">
                  <c:v>17.3</c:v>
                </c:pt>
                <c:pt idx="12">
                  <c:v>17.3</c:v>
                </c:pt>
                <c:pt idx="13">
                  <c:v>17.3</c:v>
                </c:pt>
                <c:pt idx="14">
                  <c:v>17.3</c:v>
                </c:pt>
                <c:pt idx="15">
                  <c:v>17.3</c:v>
                </c:pt>
                <c:pt idx="16">
                  <c:v>17.3</c:v>
                </c:pt>
                <c:pt idx="17">
                  <c:v>17.3</c:v>
                </c:pt>
                <c:pt idx="18">
                  <c:v>17.3</c:v>
                </c:pt>
                <c:pt idx="19">
                  <c:v>17.3</c:v>
                </c:pt>
                <c:pt idx="20">
                  <c:v>17.3</c:v>
                </c:pt>
                <c:pt idx="21">
                  <c:v>17.3</c:v>
                </c:pt>
                <c:pt idx="22">
                  <c:v>17.3</c:v>
                </c:pt>
                <c:pt idx="23">
                  <c:v>17.3</c:v>
                </c:pt>
                <c:pt idx="24">
                  <c:v>17.3</c:v>
                </c:pt>
                <c:pt idx="25">
                  <c:v>17.3</c:v>
                </c:pt>
                <c:pt idx="26">
                  <c:v>17.3</c:v>
                </c:pt>
                <c:pt idx="27">
                  <c:v>17.3</c:v>
                </c:pt>
                <c:pt idx="28">
                  <c:v>17.3</c:v>
                </c:pt>
                <c:pt idx="29">
                  <c:v>17.3</c:v>
                </c:pt>
                <c:pt idx="30">
                  <c:v>17.3</c:v>
                </c:pt>
                <c:pt idx="31">
                  <c:v>17.3</c:v>
                </c:pt>
                <c:pt idx="32">
                  <c:v>17.3</c:v>
                </c:pt>
                <c:pt idx="33">
                  <c:v>17.3</c:v>
                </c:pt>
                <c:pt idx="34">
                  <c:v>17.3</c:v>
                </c:pt>
                <c:pt idx="35">
                  <c:v>17.3</c:v>
                </c:pt>
                <c:pt idx="36">
                  <c:v>17.3</c:v>
                </c:pt>
                <c:pt idx="37">
                  <c:v>17.3</c:v>
                </c:pt>
                <c:pt idx="38">
                  <c:v>17.3</c:v>
                </c:pt>
                <c:pt idx="39">
                  <c:v>17.3</c:v>
                </c:pt>
                <c:pt idx="40">
                  <c:v>17.3</c:v>
                </c:pt>
                <c:pt idx="41">
                  <c:v>17.3</c:v>
                </c:pt>
                <c:pt idx="42">
                  <c:v>17.3</c:v>
                </c:pt>
                <c:pt idx="43">
                  <c:v>17.3</c:v>
                </c:pt>
                <c:pt idx="44">
                  <c:v>17.3</c:v>
                </c:pt>
                <c:pt idx="45">
                  <c:v>17.3</c:v>
                </c:pt>
                <c:pt idx="46">
                  <c:v>17.3</c:v>
                </c:pt>
                <c:pt idx="47">
                  <c:v>17.3</c:v>
                </c:pt>
                <c:pt idx="48">
                  <c:v>17.3</c:v>
                </c:pt>
                <c:pt idx="49">
                  <c:v>17.3</c:v>
                </c:pt>
                <c:pt idx="50">
                  <c:v>17.3</c:v>
                </c:pt>
                <c:pt idx="51">
                  <c:v>17.3</c:v>
                </c:pt>
                <c:pt idx="52">
                  <c:v>17.3</c:v>
                </c:pt>
                <c:pt idx="53">
                  <c:v>17.3</c:v>
                </c:pt>
                <c:pt idx="54">
                  <c:v>17.3</c:v>
                </c:pt>
                <c:pt idx="55">
                  <c:v>17.3</c:v>
                </c:pt>
                <c:pt idx="56">
                  <c:v>17.3</c:v>
                </c:pt>
                <c:pt idx="57">
                  <c:v>17.3</c:v>
                </c:pt>
                <c:pt idx="58">
                  <c:v>17.3</c:v>
                </c:pt>
                <c:pt idx="59">
                  <c:v>17.3</c:v>
                </c:pt>
                <c:pt idx="60">
                  <c:v>17.3</c:v>
                </c:pt>
                <c:pt idx="61">
                  <c:v>17.3</c:v>
                </c:pt>
                <c:pt idx="62">
                  <c:v>17.3</c:v>
                </c:pt>
                <c:pt idx="63">
                  <c:v>17.3</c:v>
                </c:pt>
                <c:pt idx="64">
                  <c:v>17.3</c:v>
                </c:pt>
                <c:pt idx="65">
                  <c:v>17.3</c:v>
                </c:pt>
                <c:pt idx="66">
                  <c:v>17.3</c:v>
                </c:pt>
                <c:pt idx="67">
                  <c:v>17.3</c:v>
                </c:pt>
                <c:pt idx="68">
                  <c:v>17.3</c:v>
                </c:pt>
                <c:pt idx="69">
                  <c:v>17.3</c:v>
                </c:pt>
                <c:pt idx="70">
                  <c:v>17.3</c:v>
                </c:pt>
                <c:pt idx="71">
                  <c:v>17.3</c:v>
                </c:pt>
                <c:pt idx="72">
                  <c:v>17.3</c:v>
                </c:pt>
                <c:pt idx="73">
                  <c:v>17.3</c:v>
                </c:pt>
                <c:pt idx="74">
                  <c:v>17.3</c:v>
                </c:pt>
                <c:pt idx="75">
                  <c:v>17.3</c:v>
                </c:pt>
                <c:pt idx="76">
                  <c:v>17.3</c:v>
                </c:pt>
                <c:pt idx="77">
                  <c:v>17.3</c:v>
                </c:pt>
                <c:pt idx="78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B55-4850-B29C-5AB48CC93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59520"/>
        <c:axId val="33261056"/>
      </c:lineChart>
      <c:catAx>
        <c:axId val="33259520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majorTickMark val="out"/>
        <c:minorTickMark val="none"/>
        <c:tickLblPos val="nextTo"/>
        <c:crossAx val="33261056"/>
        <c:crosses val="autoZero"/>
        <c:auto val="1"/>
        <c:lblAlgn val="ctr"/>
        <c:lblOffset val="1"/>
        <c:tickLblSkip val="1"/>
        <c:noMultiLvlLbl val="0"/>
      </c:catAx>
      <c:valAx>
        <c:axId val="33261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0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95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20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06047031915338E-2"/>
          <c:y val="2.9281404592376541E-2"/>
          <c:w val="0.93519859590712728"/>
          <c:h val="0.80923154509840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Formule!$G$191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Formule!$F$192:$F$341</c:f>
              <c:strCache>
                <c:ptCount val="150"/>
                <c:pt idx="0">
                  <c:v>17.199 to 17.200</c:v>
                </c:pt>
                <c:pt idx="1">
                  <c:v>17.200 to 17.201</c:v>
                </c:pt>
                <c:pt idx="2">
                  <c:v>17.201 to 17.202</c:v>
                </c:pt>
                <c:pt idx="3">
                  <c:v>17.202 to 17.203</c:v>
                </c:pt>
                <c:pt idx="4">
                  <c:v>17.203 to 17.204</c:v>
                </c:pt>
                <c:pt idx="5">
                  <c:v>17.204 to 17.205</c:v>
                </c:pt>
                <c:pt idx="6">
                  <c:v>17.205 to 17.206</c:v>
                </c:pt>
                <c:pt idx="7">
                  <c:v>17.206 to 17.207</c:v>
                </c:pt>
                <c:pt idx="8">
                  <c:v>17.207 to 17.208</c:v>
                </c:pt>
                <c:pt idx="9">
                  <c:v>17.208 to 17.209</c:v>
                </c:pt>
                <c:pt idx="10">
                  <c:v>17.209 to 17.210</c:v>
                </c:pt>
                <c:pt idx="11">
                  <c:v>17.210 to 17.211</c:v>
                </c:pt>
                <c:pt idx="12">
                  <c:v>17.211 to 17.212</c:v>
                </c:pt>
                <c:pt idx="13">
                  <c:v>17.212 to 17.213</c:v>
                </c:pt>
                <c:pt idx="14">
                  <c:v>17.213 to 17.214</c:v>
                </c:pt>
                <c:pt idx="15">
                  <c:v>17.214 to 17.215</c:v>
                </c:pt>
                <c:pt idx="16">
                  <c:v>17.215 to 17.216</c:v>
                </c:pt>
                <c:pt idx="17">
                  <c:v>17.216 to 17.217</c:v>
                </c:pt>
                <c:pt idx="18">
                  <c:v>17.217 to 17.218</c:v>
                </c:pt>
                <c:pt idx="19">
                  <c:v>17.218 to 17.219</c:v>
                </c:pt>
                <c:pt idx="20">
                  <c:v>17.219 to 17.220</c:v>
                </c:pt>
                <c:pt idx="21">
                  <c:v>17.220 to 17.221</c:v>
                </c:pt>
                <c:pt idx="22">
                  <c:v>17.221 to 17.222</c:v>
                </c:pt>
                <c:pt idx="23">
                  <c:v>17.222 to 17.223</c:v>
                </c:pt>
                <c:pt idx="24">
                  <c:v>17.223 to 17.224</c:v>
                </c:pt>
                <c:pt idx="25">
                  <c:v>17.224 to 17.225</c:v>
                </c:pt>
                <c:pt idx="26">
                  <c:v>17.225 to 17.226</c:v>
                </c:pt>
                <c:pt idx="27">
                  <c:v>17.226 to 17.227</c:v>
                </c:pt>
                <c:pt idx="28">
                  <c:v>17.227 to 17.228</c:v>
                </c:pt>
                <c:pt idx="29">
                  <c:v>17.228 to 17.229</c:v>
                </c:pt>
                <c:pt idx="30">
                  <c:v>17.229 to 17.230</c:v>
                </c:pt>
                <c:pt idx="31">
                  <c:v>17.230 to 17.231</c:v>
                </c:pt>
                <c:pt idx="32">
                  <c:v>17.231 to 17.232</c:v>
                </c:pt>
                <c:pt idx="33">
                  <c:v>17.232 to 17.233</c:v>
                </c:pt>
                <c:pt idx="34">
                  <c:v>17.233 to 17.234</c:v>
                </c:pt>
                <c:pt idx="35">
                  <c:v>17.234 to 17.235</c:v>
                </c:pt>
                <c:pt idx="36">
                  <c:v>17.235 to 17.236</c:v>
                </c:pt>
                <c:pt idx="37">
                  <c:v>17.236 to 17.237</c:v>
                </c:pt>
                <c:pt idx="38">
                  <c:v>17.237 to 17.238</c:v>
                </c:pt>
                <c:pt idx="39">
                  <c:v>17.238 to 17.239</c:v>
                </c:pt>
                <c:pt idx="40">
                  <c:v>17.239 to 17.240</c:v>
                </c:pt>
                <c:pt idx="41">
                  <c:v>17.240 to 17.241</c:v>
                </c:pt>
                <c:pt idx="42">
                  <c:v>17.241 to 17.242</c:v>
                </c:pt>
                <c:pt idx="43">
                  <c:v>17.242 to 17.243</c:v>
                </c:pt>
                <c:pt idx="44">
                  <c:v>17.243 to 17.244</c:v>
                </c:pt>
                <c:pt idx="45">
                  <c:v>17.244 to 17.245</c:v>
                </c:pt>
                <c:pt idx="46">
                  <c:v>17.245 to 17.246</c:v>
                </c:pt>
                <c:pt idx="47">
                  <c:v>17.246 to 17.247</c:v>
                </c:pt>
                <c:pt idx="48">
                  <c:v>17.247 to 17.248</c:v>
                </c:pt>
                <c:pt idx="49">
                  <c:v>17.248 to 17.249</c:v>
                </c:pt>
                <c:pt idx="50">
                  <c:v>17.249 to 17.250</c:v>
                </c:pt>
                <c:pt idx="51">
                  <c:v>17.250 to 17.251</c:v>
                </c:pt>
                <c:pt idx="52">
                  <c:v>17.251 to 17.252</c:v>
                </c:pt>
                <c:pt idx="53">
                  <c:v>17.252 to 17.253</c:v>
                </c:pt>
                <c:pt idx="54">
                  <c:v>17.253 to 17.254</c:v>
                </c:pt>
                <c:pt idx="55">
                  <c:v>17.254 to 17.255</c:v>
                </c:pt>
                <c:pt idx="56">
                  <c:v>17.255 to 17.256</c:v>
                </c:pt>
                <c:pt idx="57">
                  <c:v>17.256 to 17.257</c:v>
                </c:pt>
                <c:pt idx="58">
                  <c:v>17.257 to 17.258</c:v>
                </c:pt>
                <c:pt idx="59">
                  <c:v>17.258 to 17.259</c:v>
                </c:pt>
                <c:pt idx="60">
                  <c:v>17.259 to 17.260</c:v>
                </c:pt>
                <c:pt idx="61">
                  <c:v>17.260 to 17.261</c:v>
                </c:pt>
                <c:pt idx="62">
                  <c:v>17.261 to 17.262</c:v>
                </c:pt>
                <c:pt idx="63">
                  <c:v>17.262 to 17.263</c:v>
                </c:pt>
                <c:pt idx="64">
                  <c:v>17.263 to 17.264</c:v>
                </c:pt>
                <c:pt idx="65">
                  <c:v>17.264 to 17.265</c:v>
                </c:pt>
                <c:pt idx="66">
                  <c:v>17.265 to 17.266</c:v>
                </c:pt>
                <c:pt idx="67">
                  <c:v>17.266 to 17.267</c:v>
                </c:pt>
                <c:pt idx="68">
                  <c:v>17.267 to 17.268</c:v>
                </c:pt>
                <c:pt idx="69">
                  <c:v>17.268 to 17.269</c:v>
                </c:pt>
                <c:pt idx="70">
                  <c:v>17.269 to 17.270</c:v>
                </c:pt>
                <c:pt idx="71">
                  <c:v>17.270 to 17.271</c:v>
                </c:pt>
                <c:pt idx="72">
                  <c:v>17.271 to 17.272</c:v>
                </c:pt>
                <c:pt idx="73">
                  <c:v>17.272 to 17.273</c:v>
                </c:pt>
                <c:pt idx="74">
                  <c:v>17.273 to 17.274</c:v>
                </c:pt>
                <c:pt idx="75">
                  <c:v>17.274 to 17.275</c:v>
                </c:pt>
                <c:pt idx="76">
                  <c:v>17.275 to 17.276</c:v>
                </c:pt>
                <c:pt idx="77">
                  <c:v>17.276 to 17.277</c:v>
                </c:pt>
                <c:pt idx="78">
                  <c:v>17.277 to 17.278</c:v>
                </c:pt>
                <c:pt idx="79">
                  <c:v>17.278 to 17.279</c:v>
                </c:pt>
                <c:pt idx="80">
                  <c:v>17.279 to 17.280</c:v>
                </c:pt>
                <c:pt idx="81">
                  <c:v>17.280 to 17.281</c:v>
                </c:pt>
                <c:pt idx="82">
                  <c:v>17.281 to 17.282</c:v>
                </c:pt>
                <c:pt idx="83">
                  <c:v>17.282 to 17.283</c:v>
                </c:pt>
                <c:pt idx="84">
                  <c:v>17.283 to 17.284</c:v>
                </c:pt>
                <c:pt idx="85">
                  <c:v>17.284 to 17.285</c:v>
                </c:pt>
                <c:pt idx="86">
                  <c:v>17.285 to 17.286</c:v>
                </c:pt>
                <c:pt idx="87">
                  <c:v>17.286 to 17.287</c:v>
                </c:pt>
                <c:pt idx="88">
                  <c:v>17.287 to 17.288</c:v>
                </c:pt>
                <c:pt idx="89">
                  <c:v>17.288 to 17.289</c:v>
                </c:pt>
                <c:pt idx="90">
                  <c:v>17.289 to 17.290</c:v>
                </c:pt>
                <c:pt idx="91">
                  <c:v>17.290 to 17.291</c:v>
                </c:pt>
                <c:pt idx="92">
                  <c:v>17.291 to 17.292</c:v>
                </c:pt>
                <c:pt idx="93">
                  <c:v>17.292 to 17.293</c:v>
                </c:pt>
                <c:pt idx="94">
                  <c:v>17.293 to 17.294</c:v>
                </c:pt>
                <c:pt idx="95">
                  <c:v>17.294 to 17.295</c:v>
                </c:pt>
                <c:pt idx="96">
                  <c:v>17.295 to 17.296</c:v>
                </c:pt>
                <c:pt idx="97">
                  <c:v>17.296 to 17.297</c:v>
                </c:pt>
                <c:pt idx="98">
                  <c:v>17.297 to 17.298</c:v>
                </c:pt>
                <c:pt idx="99">
                  <c:v>17.298 to 17.299</c:v>
                </c:pt>
                <c:pt idx="100">
                  <c:v>17.299 to 17.300</c:v>
                </c:pt>
                <c:pt idx="101">
                  <c:v>17.300 to 17.301</c:v>
                </c:pt>
                <c:pt idx="102">
                  <c:v>17.301 to 17.302</c:v>
                </c:pt>
                <c:pt idx="103">
                  <c:v>17.302 to 17.303</c:v>
                </c:pt>
                <c:pt idx="104">
                  <c:v>17.303 to 17.304</c:v>
                </c:pt>
                <c:pt idx="105">
                  <c:v>17.304 to 17.305</c:v>
                </c:pt>
                <c:pt idx="106">
                  <c:v>17.305 to 17.306</c:v>
                </c:pt>
                <c:pt idx="107">
                  <c:v>17.306 to 17.307</c:v>
                </c:pt>
                <c:pt idx="108">
                  <c:v>17.307 to 17.308</c:v>
                </c:pt>
                <c:pt idx="109">
                  <c:v>17.308 to 17.309</c:v>
                </c:pt>
                <c:pt idx="110">
                  <c:v>17.309 to 17.310</c:v>
                </c:pt>
                <c:pt idx="111">
                  <c:v>17.310 to 17.311</c:v>
                </c:pt>
                <c:pt idx="112">
                  <c:v>17.311 to 17.312</c:v>
                </c:pt>
                <c:pt idx="113">
                  <c:v>17.312 to 17.313</c:v>
                </c:pt>
                <c:pt idx="114">
                  <c:v>17.313 to 17.314</c:v>
                </c:pt>
                <c:pt idx="115">
                  <c:v>17.314 to 17.315</c:v>
                </c:pt>
                <c:pt idx="116">
                  <c:v>17.315 to 17.316</c:v>
                </c:pt>
                <c:pt idx="117">
                  <c:v>17.316 to 17.317</c:v>
                </c:pt>
                <c:pt idx="118">
                  <c:v>17.317 to 17.318</c:v>
                </c:pt>
                <c:pt idx="119">
                  <c:v>17.318 to 17.319</c:v>
                </c:pt>
                <c:pt idx="120">
                  <c:v>17.319 to 17.320</c:v>
                </c:pt>
                <c:pt idx="121">
                  <c:v>17.320 to 17.321</c:v>
                </c:pt>
                <c:pt idx="122">
                  <c:v>17.321 to 17.322</c:v>
                </c:pt>
                <c:pt idx="123">
                  <c:v>17.322 to 17.323</c:v>
                </c:pt>
                <c:pt idx="124">
                  <c:v>17.323 to 17.324</c:v>
                </c:pt>
                <c:pt idx="125">
                  <c:v>17.324 to 17.325</c:v>
                </c:pt>
                <c:pt idx="126">
                  <c:v>17.325 to 17.326</c:v>
                </c:pt>
                <c:pt idx="127">
                  <c:v>17.326 to 17.327</c:v>
                </c:pt>
                <c:pt idx="128">
                  <c:v>17.327 to 17.328</c:v>
                </c:pt>
                <c:pt idx="129">
                  <c:v>17.328 to 17.329</c:v>
                </c:pt>
                <c:pt idx="130">
                  <c:v>17.329 to 17.330</c:v>
                </c:pt>
                <c:pt idx="131">
                  <c:v>17.330 to 17.331</c:v>
                </c:pt>
                <c:pt idx="132">
                  <c:v>17.331 to 17.332</c:v>
                </c:pt>
                <c:pt idx="133">
                  <c:v>17.332 to 17.333</c:v>
                </c:pt>
                <c:pt idx="134">
                  <c:v>17.333 to 17.334</c:v>
                </c:pt>
                <c:pt idx="135">
                  <c:v>17.334 to 17.335</c:v>
                </c:pt>
                <c:pt idx="136">
                  <c:v>17.335 to 17.336</c:v>
                </c:pt>
                <c:pt idx="137">
                  <c:v>17.336 to 17.337</c:v>
                </c:pt>
                <c:pt idx="138">
                  <c:v>17.337 to 17.338</c:v>
                </c:pt>
                <c:pt idx="139">
                  <c:v>17.338 to 17.339</c:v>
                </c:pt>
                <c:pt idx="140">
                  <c:v>17.339 to 17.340</c:v>
                </c:pt>
                <c:pt idx="141">
                  <c:v>17.340 to 17.341</c:v>
                </c:pt>
                <c:pt idx="142">
                  <c:v>17.341 to 17.342</c:v>
                </c:pt>
                <c:pt idx="143">
                  <c:v>17.342 to 17.343</c:v>
                </c:pt>
                <c:pt idx="144">
                  <c:v>17.343 to 17.344</c:v>
                </c:pt>
                <c:pt idx="145">
                  <c:v>17.344 to 17.345</c:v>
                </c:pt>
                <c:pt idx="146">
                  <c:v>17.345 to 17.346</c:v>
                </c:pt>
                <c:pt idx="147">
                  <c:v>17.346 to 17.347</c:v>
                </c:pt>
                <c:pt idx="148">
                  <c:v>17.347 to 17.348</c:v>
                </c:pt>
                <c:pt idx="149">
                  <c:v>17.348 to 17.349</c:v>
                </c:pt>
              </c:strCache>
            </c:strRef>
          </c:cat>
          <c:val>
            <c:numRef>
              <c:f>Formule!$G$192:$G$341</c:f>
              <c:numCache>
                <c:formatCode>0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13</c:v>
                </c:pt>
                <c:pt idx="25">
                  <c:v>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5-41F2-AC31-38B990C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3327744"/>
        <c:axId val="33333632"/>
      </c:barChart>
      <c:lineChart>
        <c:grouping val="standard"/>
        <c:varyColors val="0"/>
        <c:ser>
          <c:idx val="1"/>
          <c:order val="1"/>
          <c:tx>
            <c:strRef>
              <c:f>Formule!$H$191</c:f>
              <c:strCache>
                <c:ptCount val="1"/>
                <c:pt idx="0">
                  <c:v>4.08744E-05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Formule!$F$192:$F$341</c:f>
              <c:strCache>
                <c:ptCount val="150"/>
                <c:pt idx="0">
                  <c:v>17.199 to 17.200</c:v>
                </c:pt>
                <c:pt idx="1">
                  <c:v>17.200 to 17.201</c:v>
                </c:pt>
                <c:pt idx="2">
                  <c:v>17.201 to 17.202</c:v>
                </c:pt>
                <c:pt idx="3">
                  <c:v>17.202 to 17.203</c:v>
                </c:pt>
                <c:pt idx="4">
                  <c:v>17.203 to 17.204</c:v>
                </c:pt>
                <c:pt idx="5">
                  <c:v>17.204 to 17.205</c:v>
                </c:pt>
                <c:pt idx="6">
                  <c:v>17.205 to 17.206</c:v>
                </c:pt>
                <c:pt idx="7">
                  <c:v>17.206 to 17.207</c:v>
                </c:pt>
                <c:pt idx="8">
                  <c:v>17.207 to 17.208</c:v>
                </c:pt>
                <c:pt idx="9">
                  <c:v>17.208 to 17.209</c:v>
                </c:pt>
                <c:pt idx="10">
                  <c:v>17.209 to 17.210</c:v>
                </c:pt>
                <c:pt idx="11">
                  <c:v>17.210 to 17.211</c:v>
                </c:pt>
                <c:pt idx="12">
                  <c:v>17.211 to 17.212</c:v>
                </c:pt>
                <c:pt idx="13">
                  <c:v>17.212 to 17.213</c:v>
                </c:pt>
                <c:pt idx="14">
                  <c:v>17.213 to 17.214</c:v>
                </c:pt>
                <c:pt idx="15">
                  <c:v>17.214 to 17.215</c:v>
                </c:pt>
                <c:pt idx="16">
                  <c:v>17.215 to 17.216</c:v>
                </c:pt>
                <c:pt idx="17">
                  <c:v>17.216 to 17.217</c:v>
                </c:pt>
                <c:pt idx="18">
                  <c:v>17.217 to 17.218</c:v>
                </c:pt>
                <c:pt idx="19">
                  <c:v>17.218 to 17.219</c:v>
                </c:pt>
                <c:pt idx="20">
                  <c:v>17.219 to 17.220</c:v>
                </c:pt>
                <c:pt idx="21">
                  <c:v>17.220 to 17.221</c:v>
                </c:pt>
                <c:pt idx="22">
                  <c:v>17.221 to 17.222</c:v>
                </c:pt>
                <c:pt idx="23">
                  <c:v>17.222 to 17.223</c:v>
                </c:pt>
                <c:pt idx="24">
                  <c:v>17.223 to 17.224</c:v>
                </c:pt>
                <c:pt idx="25">
                  <c:v>17.224 to 17.225</c:v>
                </c:pt>
                <c:pt idx="26">
                  <c:v>17.225 to 17.226</c:v>
                </c:pt>
                <c:pt idx="27">
                  <c:v>17.226 to 17.227</c:v>
                </c:pt>
                <c:pt idx="28">
                  <c:v>17.227 to 17.228</c:v>
                </c:pt>
                <c:pt idx="29">
                  <c:v>17.228 to 17.229</c:v>
                </c:pt>
                <c:pt idx="30">
                  <c:v>17.229 to 17.230</c:v>
                </c:pt>
                <c:pt idx="31">
                  <c:v>17.230 to 17.231</c:v>
                </c:pt>
                <c:pt idx="32">
                  <c:v>17.231 to 17.232</c:v>
                </c:pt>
                <c:pt idx="33">
                  <c:v>17.232 to 17.233</c:v>
                </c:pt>
                <c:pt idx="34">
                  <c:v>17.233 to 17.234</c:v>
                </c:pt>
                <c:pt idx="35">
                  <c:v>17.234 to 17.235</c:v>
                </c:pt>
                <c:pt idx="36">
                  <c:v>17.235 to 17.236</c:v>
                </c:pt>
                <c:pt idx="37">
                  <c:v>17.236 to 17.237</c:v>
                </c:pt>
                <c:pt idx="38">
                  <c:v>17.237 to 17.238</c:v>
                </c:pt>
                <c:pt idx="39">
                  <c:v>17.238 to 17.239</c:v>
                </c:pt>
                <c:pt idx="40">
                  <c:v>17.239 to 17.240</c:v>
                </c:pt>
                <c:pt idx="41">
                  <c:v>17.240 to 17.241</c:v>
                </c:pt>
                <c:pt idx="42">
                  <c:v>17.241 to 17.242</c:v>
                </c:pt>
                <c:pt idx="43">
                  <c:v>17.242 to 17.243</c:v>
                </c:pt>
                <c:pt idx="44">
                  <c:v>17.243 to 17.244</c:v>
                </c:pt>
                <c:pt idx="45">
                  <c:v>17.244 to 17.245</c:v>
                </c:pt>
                <c:pt idx="46">
                  <c:v>17.245 to 17.246</c:v>
                </c:pt>
                <c:pt idx="47">
                  <c:v>17.246 to 17.247</c:v>
                </c:pt>
                <c:pt idx="48">
                  <c:v>17.247 to 17.248</c:v>
                </c:pt>
                <c:pt idx="49">
                  <c:v>17.248 to 17.249</c:v>
                </c:pt>
                <c:pt idx="50">
                  <c:v>17.249 to 17.250</c:v>
                </c:pt>
                <c:pt idx="51">
                  <c:v>17.250 to 17.251</c:v>
                </c:pt>
                <c:pt idx="52">
                  <c:v>17.251 to 17.252</c:v>
                </c:pt>
                <c:pt idx="53">
                  <c:v>17.252 to 17.253</c:v>
                </c:pt>
                <c:pt idx="54">
                  <c:v>17.253 to 17.254</c:v>
                </c:pt>
                <c:pt idx="55">
                  <c:v>17.254 to 17.255</c:v>
                </c:pt>
                <c:pt idx="56">
                  <c:v>17.255 to 17.256</c:v>
                </c:pt>
                <c:pt idx="57">
                  <c:v>17.256 to 17.257</c:v>
                </c:pt>
                <c:pt idx="58">
                  <c:v>17.257 to 17.258</c:v>
                </c:pt>
                <c:pt idx="59">
                  <c:v>17.258 to 17.259</c:v>
                </c:pt>
                <c:pt idx="60">
                  <c:v>17.259 to 17.260</c:v>
                </c:pt>
                <c:pt idx="61">
                  <c:v>17.260 to 17.261</c:v>
                </c:pt>
                <c:pt idx="62">
                  <c:v>17.261 to 17.262</c:v>
                </c:pt>
                <c:pt idx="63">
                  <c:v>17.262 to 17.263</c:v>
                </c:pt>
                <c:pt idx="64">
                  <c:v>17.263 to 17.264</c:v>
                </c:pt>
                <c:pt idx="65">
                  <c:v>17.264 to 17.265</c:v>
                </c:pt>
                <c:pt idx="66">
                  <c:v>17.265 to 17.266</c:v>
                </c:pt>
                <c:pt idx="67">
                  <c:v>17.266 to 17.267</c:v>
                </c:pt>
                <c:pt idx="68">
                  <c:v>17.267 to 17.268</c:v>
                </c:pt>
                <c:pt idx="69">
                  <c:v>17.268 to 17.269</c:v>
                </c:pt>
                <c:pt idx="70">
                  <c:v>17.269 to 17.270</c:v>
                </c:pt>
                <c:pt idx="71">
                  <c:v>17.270 to 17.271</c:v>
                </c:pt>
                <c:pt idx="72">
                  <c:v>17.271 to 17.272</c:v>
                </c:pt>
                <c:pt idx="73">
                  <c:v>17.272 to 17.273</c:v>
                </c:pt>
                <c:pt idx="74">
                  <c:v>17.273 to 17.274</c:v>
                </c:pt>
                <c:pt idx="75">
                  <c:v>17.274 to 17.275</c:v>
                </c:pt>
                <c:pt idx="76">
                  <c:v>17.275 to 17.276</c:v>
                </c:pt>
                <c:pt idx="77">
                  <c:v>17.276 to 17.277</c:v>
                </c:pt>
                <c:pt idx="78">
                  <c:v>17.277 to 17.278</c:v>
                </c:pt>
                <c:pt idx="79">
                  <c:v>17.278 to 17.279</c:v>
                </c:pt>
                <c:pt idx="80">
                  <c:v>17.279 to 17.280</c:v>
                </c:pt>
                <c:pt idx="81">
                  <c:v>17.280 to 17.281</c:v>
                </c:pt>
                <c:pt idx="82">
                  <c:v>17.281 to 17.282</c:v>
                </c:pt>
                <c:pt idx="83">
                  <c:v>17.282 to 17.283</c:v>
                </c:pt>
                <c:pt idx="84">
                  <c:v>17.283 to 17.284</c:v>
                </c:pt>
                <c:pt idx="85">
                  <c:v>17.284 to 17.285</c:v>
                </c:pt>
                <c:pt idx="86">
                  <c:v>17.285 to 17.286</c:v>
                </c:pt>
                <c:pt idx="87">
                  <c:v>17.286 to 17.287</c:v>
                </c:pt>
                <c:pt idx="88">
                  <c:v>17.287 to 17.288</c:v>
                </c:pt>
                <c:pt idx="89">
                  <c:v>17.288 to 17.289</c:v>
                </c:pt>
                <c:pt idx="90">
                  <c:v>17.289 to 17.290</c:v>
                </c:pt>
                <c:pt idx="91">
                  <c:v>17.290 to 17.291</c:v>
                </c:pt>
                <c:pt idx="92">
                  <c:v>17.291 to 17.292</c:v>
                </c:pt>
                <c:pt idx="93">
                  <c:v>17.292 to 17.293</c:v>
                </c:pt>
                <c:pt idx="94">
                  <c:v>17.293 to 17.294</c:v>
                </c:pt>
                <c:pt idx="95">
                  <c:v>17.294 to 17.295</c:v>
                </c:pt>
                <c:pt idx="96">
                  <c:v>17.295 to 17.296</c:v>
                </c:pt>
                <c:pt idx="97">
                  <c:v>17.296 to 17.297</c:v>
                </c:pt>
                <c:pt idx="98">
                  <c:v>17.297 to 17.298</c:v>
                </c:pt>
                <c:pt idx="99">
                  <c:v>17.298 to 17.299</c:v>
                </c:pt>
                <c:pt idx="100">
                  <c:v>17.299 to 17.300</c:v>
                </c:pt>
                <c:pt idx="101">
                  <c:v>17.300 to 17.301</c:v>
                </c:pt>
                <c:pt idx="102">
                  <c:v>17.301 to 17.302</c:v>
                </c:pt>
                <c:pt idx="103">
                  <c:v>17.302 to 17.303</c:v>
                </c:pt>
                <c:pt idx="104">
                  <c:v>17.303 to 17.304</c:v>
                </c:pt>
                <c:pt idx="105">
                  <c:v>17.304 to 17.305</c:v>
                </c:pt>
                <c:pt idx="106">
                  <c:v>17.305 to 17.306</c:v>
                </c:pt>
                <c:pt idx="107">
                  <c:v>17.306 to 17.307</c:v>
                </c:pt>
                <c:pt idx="108">
                  <c:v>17.307 to 17.308</c:v>
                </c:pt>
                <c:pt idx="109">
                  <c:v>17.308 to 17.309</c:v>
                </c:pt>
                <c:pt idx="110">
                  <c:v>17.309 to 17.310</c:v>
                </c:pt>
                <c:pt idx="111">
                  <c:v>17.310 to 17.311</c:v>
                </c:pt>
                <c:pt idx="112">
                  <c:v>17.311 to 17.312</c:v>
                </c:pt>
                <c:pt idx="113">
                  <c:v>17.312 to 17.313</c:v>
                </c:pt>
                <c:pt idx="114">
                  <c:v>17.313 to 17.314</c:v>
                </c:pt>
                <c:pt idx="115">
                  <c:v>17.314 to 17.315</c:v>
                </c:pt>
                <c:pt idx="116">
                  <c:v>17.315 to 17.316</c:v>
                </c:pt>
                <c:pt idx="117">
                  <c:v>17.316 to 17.317</c:v>
                </c:pt>
                <c:pt idx="118">
                  <c:v>17.317 to 17.318</c:v>
                </c:pt>
                <c:pt idx="119">
                  <c:v>17.318 to 17.319</c:v>
                </c:pt>
                <c:pt idx="120">
                  <c:v>17.319 to 17.320</c:v>
                </c:pt>
                <c:pt idx="121">
                  <c:v>17.320 to 17.321</c:v>
                </c:pt>
                <c:pt idx="122">
                  <c:v>17.321 to 17.322</c:v>
                </c:pt>
                <c:pt idx="123">
                  <c:v>17.322 to 17.323</c:v>
                </c:pt>
                <c:pt idx="124">
                  <c:v>17.323 to 17.324</c:v>
                </c:pt>
                <c:pt idx="125">
                  <c:v>17.324 to 17.325</c:v>
                </c:pt>
                <c:pt idx="126">
                  <c:v>17.325 to 17.326</c:v>
                </c:pt>
                <c:pt idx="127">
                  <c:v>17.326 to 17.327</c:v>
                </c:pt>
                <c:pt idx="128">
                  <c:v>17.327 to 17.328</c:v>
                </c:pt>
                <c:pt idx="129">
                  <c:v>17.328 to 17.329</c:v>
                </c:pt>
                <c:pt idx="130">
                  <c:v>17.329 to 17.330</c:v>
                </c:pt>
                <c:pt idx="131">
                  <c:v>17.330 to 17.331</c:v>
                </c:pt>
                <c:pt idx="132">
                  <c:v>17.331 to 17.332</c:v>
                </c:pt>
                <c:pt idx="133">
                  <c:v>17.332 to 17.333</c:v>
                </c:pt>
                <c:pt idx="134">
                  <c:v>17.333 to 17.334</c:v>
                </c:pt>
                <c:pt idx="135">
                  <c:v>17.334 to 17.335</c:v>
                </c:pt>
                <c:pt idx="136">
                  <c:v>17.335 to 17.336</c:v>
                </c:pt>
                <c:pt idx="137">
                  <c:v>17.336 to 17.337</c:v>
                </c:pt>
                <c:pt idx="138">
                  <c:v>17.337 to 17.338</c:v>
                </c:pt>
                <c:pt idx="139">
                  <c:v>17.338 to 17.339</c:v>
                </c:pt>
                <c:pt idx="140">
                  <c:v>17.339 to 17.340</c:v>
                </c:pt>
                <c:pt idx="141">
                  <c:v>17.340 to 17.341</c:v>
                </c:pt>
                <c:pt idx="142">
                  <c:v>17.341 to 17.342</c:v>
                </c:pt>
                <c:pt idx="143">
                  <c:v>17.342 to 17.343</c:v>
                </c:pt>
                <c:pt idx="144">
                  <c:v>17.343 to 17.344</c:v>
                </c:pt>
                <c:pt idx="145">
                  <c:v>17.344 to 17.345</c:v>
                </c:pt>
                <c:pt idx="146">
                  <c:v>17.345 to 17.346</c:v>
                </c:pt>
                <c:pt idx="147">
                  <c:v>17.346 to 17.347</c:v>
                </c:pt>
                <c:pt idx="148">
                  <c:v>17.347 to 17.348</c:v>
                </c:pt>
                <c:pt idx="149">
                  <c:v>17.348 to 17.349</c:v>
                </c:pt>
              </c:strCache>
            </c:strRef>
          </c:cat>
          <c:val>
            <c:numRef>
              <c:f>Formule!$H$192:$H$341</c:f>
              <c:numCache>
                <c:formatCode>General</c:formatCode>
                <c:ptCount val="150"/>
                <c:pt idx="0">
                  <c:v>1.0155582022650148E-4</c:v>
                </c:pt>
                <c:pt idx="1">
                  <c:v>2.4490555922913399E-4</c:v>
                </c:pt>
                <c:pt idx="2">
                  <c:v>5.7323586703861978E-4</c:v>
                </c:pt>
                <c:pt idx="3">
                  <c:v>1.3022937492690122E-3</c:v>
                </c:pt>
                <c:pt idx="4">
                  <c:v>2.8716099087034031E-3</c:v>
                </c:pt>
                <c:pt idx="5">
                  <c:v>6.1458621891807364E-3</c:v>
                </c:pt>
                <c:pt idx="6">
                  <c:v>1.2766771323421728E-2</c:v>
                </c:pt>
                <c:pt idx="7">
                  <c:v>2.574069261421039E-2</c:v>
                </c:pt>
                <c:pt idx="8">
                  <c:v>5.0373283985044849E-2</c:v>
                </c:pt>
                <c:pt idx="9">
                  <c:v>9.5680004771859339E-2</c:v>
                </c:pt>
                <c:pt idx="10">
                  <c:v>0.17639367122120206</c:v>
                </c:pt>
                <c:pt idx="11">
                  <c:v>0.31563539405488572</c:v>
                </c:pt>
                <c:pt idx="12">
                  <c:v>0.54818769477442164</c:v>
                </c:pt>
                <c:pt idx="13">
                  <c:v>0.9240889036737886</c:v>
                </c:pt>
                <c:pt idx="14">
                  <c:v>1.5119558694291784</c:v>
                </c:pt>
                <c:pt idx="15">
                  <c:v>2.4010729908996877</c:v>
                </c:pt>
                <c:pt idx="16">
                  <c:v>3.70094385753338</c:v>
                </c:pt>
                <c:pt idx="17">
                  <c:v>5.5368214506616003</c:v>
                </c:pt>
                <c:pt idx="18">
                  <c:v>8.039877429161006</c:v>
                </c:pt>
                <c:pt idx="19">
                  <c:v>11.331286598387232</c:v>
                </c:pt>
                <c:pt idx="20">
                  <c:v>15.500649914837542</c:v>
                </c:pt>
                <c:pt idx="21">
                  <c:v>20.580763336824088</c:v>
                </c:pt>
                <c:pt idx="22">
                  <c:v>26.522468164168988</c:v>
                </c:pt>
                <c:pt idx="23">
                  <c:v>33.174721235810509</c:v>
                </c:pt>
                <c:pt idx="24">
                  <c:v>40.27555325460586</c:v>
                </c:pt>
                <c:pt idx="25">
                  <c:v>47.458787111480007</c:v>
                </c:pt>
                <c:pt idx="26">
                  <c:v>54.279100516966857</c:v>
                </c:pt>
                <c:pt idx="27">
                  <c:v>60.254506899192968</c:v>
                </c:pt>
                <c:pt idx="28">
                  <c:v>64.921316569845359</c:v>
                </c:pt>
                <c:pt idx="29">
                  <c:v>67.893154492040466</c:v>
                </c:pt>
                <c:pt idx="30">
                  <c:v>68.913696190733262</c:v>
                </c:pt>
                <c:pt idx="31">
                  <c:v>67.893154492033275</c:v>
                </c:pt>
                <c:pt idx="32">
                  <c:v>64.921316569831603</c:v>
                </c:pt>
                <c:pt idx="33">
                  <c:v>60.254506899192968</c:v>
                </c:pt>
                <c:pt idx="34">
                  <c:v>54.279100516943835</c:v>
                </c:pt>
                <c:pt idx="35">
                  <c:v>47.458787111454853</c:v>
                </c:pt>
                <c:pt idx="36">
                  <c:v>40.27555325460586</c:v>
                </c:pt>
                <c:pt idx="37">
                  <c:v>33.174721235785888</c:v>
                </c:pt>
                <c:pt idx="38">
                  <c:v>26.522468164146488</c:v>
                </c:pt>
                <c:pt idx="39">
                  <c:v>20.580763336824088</c:v>
                </c:pt>
                <c:pt idx="40">
                  <c:v>15.500649914821105</c:v>
                </c:pt>
                <c:pt idx="41">
                  <c:v>11.331286598374016</c:v>
                </c:pt>
                <c:pt idx="42">
                  <c:v>8.039877429161006</c:v>
                </c:pt>
                <c:pt idx="43">
                  <c:v>5.5368214506539681</c:v>
                </c:pt>
                <c:pt idx="44">
                  <c:v>3.7009438575278852</c:v>
                </c:pt>
                <c:pt idx="45">
                  <c:v>2.4010729908996877</c:v>
                </c:pt>
                <c:pt idx="46">
                  <c:v>1.5119558694266133</c:v>
                </c:pt>
                <c:pt idx="47">
                  <c:v>0.9240889036737886</c:v>
                </c:pt>
                <c:pt idx="48">
                  <c:v>0.54818769477337526</c:v>
                </c:pt>
                <c:pt idx="49">
                  <c:v>0.31563539405424995</c:v>
                </c:pt>
                <c:pt idx="50">
                  <c:v>0.17639367122120206</c:v>
                </c:pt>
                <c:pt idx="51">
                  <c:v>9.5680004771646288E-2</c:v>
                </c:pt>
                <c:pt idx="52">
                  <c:v>5.0373283984927367E-2</c:v>
                </c:pt>
                <c:pt idx="53">
                  <c:v>2.574069261421039E-2</c:v>
                </c:pt>
                <c:pt idx="54">
                  <c:v>1.2766771323389228E-2</c:v>
                </c:pt>
                <c:pt idx="55">
                  <c:v>6.1458621891644482E-3</c:v>
                </c:pt>
                <c:pt idx="56">
                  <c:v>2.8716099087034031E-3</c:v>
                </c:pt>
                <c:pt idx="57">
                  <c:v>1.302293749265283E-3</c:v>
                </c:pt>
                <c:pt idx="58">
                  <c:v>5.7323586703691824E-4</c:v>
                </c:pt>
                <c:pt idx="59">
                  <c:v>2.4490555922913399E-4</c:v>
                </c:pt>
                <c:pt idx="60">
                  <c:v>1.015558202261784E-4</c:v>
                </c:pt>
                <c:pt idx="61">
                  <c:v>4.087444606042267E-5</c:v>
                </c:pt>
                <c:pt idx="62">
                  <c:v>1.5967606785672043E-5</c:v>
                </c:pt>
                <c:pt idx="63">
                  <c:v>6.054365919501195E-6</c:v>
                </c:pt>
                <c:pt idx="64">
                  <c:v>2.2281190380549417E-6</c:v>
                </c:pt>
                <c:pt idx="65">
                  <c:v>7.9588258249408035E-7</c:v>
                </c:pt>
                <c:pt idx="66">
                  <c:v>2.7593100248193696E-7</c:v>
                </c:pt>
                <c:pt idx="67">
                  <c:v>9.2852346702318997E-8</c:v>
                </c:pt>
                <c:pt idx="68">
                  <c:v>3.0326769974672825E-8</c:v>
                </c:pt>
                <c:pt idx="69">
                  <c:v>9.6139158691700709E-9</c:v>
                </c:pt>
                <c:pt idx="70">
                  <c:v>2.9581171186892022E-9</c:v>
                </c:pt>
                <c:pt idx="71">
                  <c:v>8.8342828360309763E-10</c:v>
                </c:pt>
                <c:pt idx="72">
                  <c:v>2.5607555423543278E-10</c:v>
                </c:pt>
                <c:pt idx="73">
                  <c:v>7.2045329272917526E-11</c:v>
                </c:pt>
                <c:pt idx="74">
                  <c:v>1.9673626724307909E-11</c:v>
                </c:pt>
                <c:pt idx="75">
                  <c:v>5.2143948100849589E-12</c:v>
                </c:pt>
                <c:pt idx="76">
                  <c:v>1.3414184702217996E-12</c:v>
                </c:pt>
                <c:pt idx="77">
                  <c:v>3.3493886187863972E-13</c:v>
                </c:pt>
                <c:pt idx="78">
                  <c:v>8.1172268988261306E-14</c:v>
                </c:pt>
                <c:pt idx="79">
                  <c:v>1.9093727438307078E-14</c:v>
                </c:pt>
                <c:pt idx="80">
                  <c:v>4.3592787344198996E-15</c:v>
                </c:pt>
                <c:pt idx="81">
                  <c:v>9.6600516022203296E-16</c:v>
                </c:pt>
                <c:pt idx="82">
                  <c:v>2.0777110095224008E-16</c:v>
                </c:pt>
                <c:pt idx="83">
                  <c:v>4.3374224504915746E-17</c:v>
                </c:pt>
                <c:pt idx="84">
                  <c:v>8.7885897532487291E-18</c:v>
                </c:pt>
                <c:pt idx="85">
                  <c:v>1.7284130983665285E-18</c:v>
                </c:pt>
                <c:pt idx="86">
                  <c:v>3.2992619064571984E-19</c:v>
                </c:pt>
                <c:pt idx="87">
                  <c:v>6.1126133240367036E-20</c:v>
                </c:pt>
                <c:pt idx="88">
                  <c:v>1.0992030939238654E-20</c:v>
                </c:pt>
                <c:pt idx="89">
                  <c:v>1.9185355358060575E-21</c:v>
                </c:pt>
                <c:pt idx="90">
                  <c:v>3.2501442809965383E-22</c:v>
                </c:pt>
                <c:pt idx="91">
                  <c:v>5.3441214693078247E-23</c:v>
                </c:pt>
                <c:pt idx="92">
                  <c:v>8.5288580905024227E-24</c:v>
                </c:pt>
                <c:pt idx="93">
                  <c:v>1.3211323987575977E-24</c:v>
                </c:pt>
                <c:pt idx="94">
                  <c:v>1.986290132549398E-25</c:v>
                </c:pt>
                <c:pt idx="95">
                  <c:v>2.8985441138847899E-26</c:v>
                </c:pt>
                <c:pt idx="96">
                  <c:v>4.1054241338660593E-27</c:v>
                </c:pt>
                <c:pt idx="97">
                  <c:v>5.6438704304926408E-28</c:v>
                </c:pt>
                <c:pt idx="98">
                  <c:v>7.5307273799513682E-29</c:v>
                </c:pt>
                <c:pt idx="99">
                  <c:v>9.7529883260639062E-30</c:v>
                </c:pt>
                <c:pt idx="100">
                  <c:v>1.22596866510839E-30</c:v>
                </c:pt>
                <c:pt idx="101">
                  <c:v>1.49576002752313E-31</c:v>
                </c:pt>
                <c:pt idx="102">
                  <c:v>1.7712724316123631E-32</c:v>
                </c:pt>
                <c:pt idx="103">
                  <c:v>2.0358683498170469E-33</c:v>
                </c:pt>
                <c:pt idx="104">
                  <c:v>2.2711975212770432E-34</c:v>
                </c:pt>
                <c:pt idx="105">
                  <c:v>2.4592405294804993E-35</c:v>
                </c:pt>
                <c:pt idx="106">
                  <c:v>2.5845682022930378E-36</c:v>
                </c:pt>
                <c:pt idx="107">
                  <c:v>2.6364277460039649E-37</c:v>
                </c:pt>
                <c:pt idx="108">
                  <c:v>2.6102652241805292E-38</c:v>
                </c:pt>
                <c:pt idx="109">
                  <c:v>2.5083855402848278E-39</c:v>
                </c:pt>
                <c:pt idx="110">
                  <c:v>2.3396173161502885E-40</c:v>
                </c:pt>
                <c:pt idx="111">
                  <c:v>2.1180502176915744E-41</c:v>
                </c:pt>
                <c:pt idx="112">
                  <c:v>1.8610951002343056E-42</c:v>
                </c:pt>
                <c:pt idx="113">
                  <c:v>1.5872369534549201E-43</c:v>
                </c:pt>
                <c:pt idx="114">
                  <c:v>1.3138804590570981E-44</c:v>
                </c:pt>
                <c:pt idx="115">
                  <c:v>1.0556278231180918E-45</c:v>
                </c:pt>
                <c:pt idx="116">
                  <c:v>8.2320251856001061E-47</c:v>
                </c:pt>
                <c:pt idx="117">
                  <c:v>6.2307946716667434E-48</c:v>
                </c:pt>
                <c:pt idx="118">
                  <c:v>4.5774233058401006E-49</c:v>
                </c:pt>
                <c:pt idx="119">
                  <c:v>3.2639207134203276E-50</c:v>
                </c:pt>
                <c:pt idx="120">
                  <c:v>2.2589104348349129E-51</c:v>
                </c:pt>
                <c:pt idx="121">
                  <c:v>1.5173973108985312E-52</c:v>
                </c:pt>
                <c:pt idx="122">
                  <c:v>9.893284445746345E-54</c:v>
                </c:pt>
                <c:pt idx="123">
                  <c:v>6.2606953160676489E-55</c:v>
                </c:pt>
                <c:pt idx="124">
                  <c:v>3.8454354812938117E-56</c:v>
                </c:pt>
                <c:pt idx="125">
                  <c:v>2.2925001710052715E-57</c:v>
                </c:pt>
                <c:pt idx="126">
                  <c:v>1.3265209448879207E-58</c:v>
                </c:pt>
                <c:pt idx="127">
                  <c:v>7.4500593707091033E-60</c:v>
                </c:pt>
                <c:pt idx="128">
                  <c:v>4.0611239339914968E-61</c:v>
                </c:pt>
                <c:pt idx="129">
                  <c:v>2.148689392367888E-62</c:v>
                </c:pt>
                <c:pt idx="130">
                  <c:v>1.1034227243874042E-63</c:v>
                </c:pt>
                <c:pt idx="131">
                  <c:v>5.4998531668061189E-65</c:v>
                </c:pt>
                <c:pt idx="132">
                  <c:v>2.6607321268844973E-66</c:v>
                </c:pt>
                <c:pt idx="133">
                  <c:v>1.2493729512645253E-67</c:v>
                </c:pt>
                <c:pt idx="134">
                  <c:v>5.6940848224021665E-69</c:v>
                </c:pt>
                <c:pt idx="135">
                  <c:v>2.5188172141492571E-70</c:v>
                </c:pt>
                <c:pt idx="136">
                  <c:v>1.0814595007489577E-71</c:v>
                </c:pt>
                <c:pt idx="137">
                  <c:v>4.5067633637454017E-73</c:v>
                </c:pt>
                <c:pt idx="138">
                  <c:v>1.8228886353625937E-74</c:v>
                </c:pt>
                <c:pt idx="139">
                  <c:v>7.1564296571365126E-76</c:v>
                </c:pt>
                <c:pt idx="140">
                  <c:v>2.7269273235123452E-77</c:v>
                </c:pt>
                <c:pt idx="141">
                  <c:v>1.008536470088314E-78</c:v>
                </c:pt>
                <c:pt idx="142">
                  <c:v>3.6203498374031751E-80</c:v>
                </c:pt>
                <c:pt idx="143">
                  <c:v>1.2613928279522193E-81</c:v>
                </c:pt>
                <c:pt idx="144">
                  <c:v>4.2657074081486721E-83</c:v>
                </c:pt>
                <c:pt idx="145">
                  <c:v>1.4001438471564498E-84</c:v>
                </c:pt>
                <c:pt idx="146">
                  <c:v>4.4606190689116276E-86</c:v>
                </c:pt>
                <c:pt idx="147">
                  <c:v>1.3792992634292932E-87</c:v>
                </c:pt>
                <c:pt idx="148">
                  <c:v>4.1396417583423977E-89</c:v>
                </c:pt>
                <c:pt idx="149">
                  <c:v>1.2058905766717004E-90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D05-41F2-AC31-38B990C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5168"/>
        <c:axId val="33336704"/>
      </c:lineChart>
      <c:catAx>
        <c:axId val="33327744"/>
        <c:scaling>
          <c:orientation val="minMax"/>
        </c:scaling>
        <c:delete val="0"/>
        <c:axPos val="b"/>
        <c:majorGridlines/>
        <c:minorGridlines/>
        <c:numFmt formatCode="#,##0.00" sourceLinked="0"/>
        <c:majorTickMark val="in"/>
        <c:minorTickMark val="cross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33333632"/>
        <c:crosses val="autoZero"/>
        <c:auto val="1"/>
        <c:lblAlgn val="ctr"/>
        <c:lblOffset val="1"/>
        <c:tickMarkSkip val="10"/>
        <c:noMultiLvlLbl val="0"/>
      </c:catAx>
      <c:valAx>
        <c:axId val="33333632"/>
        <c:scaling>
          <c:orientation val="minMax"/>
          <c:min val="0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3327744"/>
        <c:crossesAt val="1"/>
        <c:crossBetween val="between"/>
      </c:valAx>
      <c:catAx>
        <c:axId val="3333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36704"/>
        <c:crosses val="autoZero"/>
        <c:auto val="0"/>
        <c:lblAlgn val="ctr"/>
        <c:lblOffset val="100"/>
        <c:noMultiLvlLbl val="0"/>
      </c:catAx>
      <c:valAx>
        <c:axId val="33336704"/>
        <c:scaling>
          <c:orientation val="minMax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333516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1072829006448"/>
          <c:y val="3.4605383968064271E-2"/>
          <c:w val="0.88098214762878069"/>
          <c:h val="0.877512444275323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Formule!$B$2:$B$51</c:f>
              <c:numCache>
                <c:formatCode>0.000</c:formatCode>
                <c:ptCount val="50"/>
                <c:pt idx="0">
                  <c:v>17.223772299417032</c:v>
                </c:pt>
                <c:pt idx="1">
                  <c:v>17.236359515325198</c:v>
                </c:pt>
                <c:pt idx="2">
                  <c:v>17.222663910821439</c:v>
                </c:pt>
                <c:pt idx="3">
                  <c:v>17.222663910821439</c:v>
                </c:pt>
                <c:pt idx="4">
                  <c:v>17.222663910821439</c:v>
                </c:pt>
                <c:pt idx="5">
                  <c:v>17.236359515325198</c:v>
                </c:pt>
                <c:pt idx="6">
                  <c:v>17.232445480875615</c:v>
                </c:pt>
                <c:pt idx="7">
                  <c:v>17.222663910821439</c:v>
                </c:pt>
                <c:pt idx="8">
                  <c:v>17.236359515325198</c:v>
                </c:pt>
                <c:pt idx="9">
                  <c:v>17.236359515325198</c:v>
                </c:pt>
                <c:pt idx="10">
                  <c:v>17.232445480875615</c:v>
                </c:pt>
                <c:pt idx="11">
                  <c:v>17.222663910821439</c:v>
                </c:pt>
                <c:pt idx="12">
                  <c:v>17.223772299417032</c:v>
                </c:pt>
                <c:pt idx="13">
                  <c:v>17.223772299417032</c:v>
                </c:pt>
                <c:pt idx="14">
                  <c:v>17.223772299417032</c:v>
                </c:pt>
                <c:pt idx="15">
                  <c:v>17.223772299417032</c:v>
                </c:pt>
                <c:pt idx="16">
                  <c:v>17.222663910821439</c:v>
                </c:pt>
                <c:pt idx="17">
                  <c:v>17.232445480875615</c:v>
                </c:pt>
                <c:pt idx="18">
                  <c:v>17.232445480875615</c:v>
                </c:pt>
                <c:pt idx="19">
                  <c:v>17.236359515325198</c:v>
                </c:pt>
                <c:pt idx="20">
                  <c:v>17.223772299417032</c:v>
                </c:pt>
                <c:pt idx="21">
                  <c:v>17.222663910821439</c:v>
                </c:pt>
                <c:pt idx="22">
                  <c:v>17.236359515325198</c:v>
                </c:pt>
                <c:pt idx="23">
                  <c:v>17.223772299417032</c:v>
                </c:pt>
                <c:pt idx="24">
                  <c:v>17.232445480875615</c:v>
                </c:pt>
                <c:pt idx="25">
                  <c:v>17.232445480875615</c:v>
                </c:pt>
                <c:pt idx="26">
                  <c:v>17.236359515325198</c:v>
                </c:pt>
                <c:pt idx="27">
                  <c:v>17.223772299417032</c:v>
                </c:pt>
                <c:pt idx="28">
                  <c:v>17.232445480875615</c:v>
                </c:pt>
                <c:pt idx="29">
                  <c:v>17.222663910821439</c:v>
                </c:pt>
                <c:pt idx="30">
                  <c:v>17.236359515325198</c:v>
                </c:pt>
                <c:pt idx="31">
                  <c:v>17.223772299417032</c:v>
                </c:pt>
                <c:pt idx="32">
                  <c:v>17.232445480875615</c:v>
                </c:pt>
                <c:pt idx="33">
                  <c:v>17.222663910821439</c:v>
                </c:pt>
                <c:pt idx="34">
                  <c:v>17.236359515325198</c:v>
                </c:pt>
                <c:pt idx="35">
                  <c:v>17.223772299417032</c:v>
                </c:pt>
                <c:pt idx="36">
                  <c:v>17.232445480875615</c:v>
                </c:pt>
                <c:pt idx="37">
                  <c:v>17.222663910821439</c:v>
                </c:pt>
                <c:pt idx="38">
                  <c:v>17.236359515325198</c:v>
                </c:pt>
                <c:pt idx="39">
                  <c:v>17.223772299417032</c:v>
                </c:pt>
                <c:pt idx="40">
                  <c:v>17.232445480875615</c:v>
                </c:pt>
                <c:pt idx="41">
                  <c:v>17.222663910821439</c:v>
                </c:pt>
                <c:pt idx="42">
                  <c:v>17.236359515325198</c:v>
                </c:pt>
                <c:pt idx="43">
                  <c:v>17.223772299417032</c:v>
                </c:pt>
                <c:pt idx="44">
                  <c:v>17.232445480875615</c:v>
                </c:pt>
                <c:pt idx="45">
                  <c:v>17.222663910821439</c:v>
                </c:pt>
                <c:pt idx="46">
                  <c:v>17.236359515325198</c:v>
                </c:pt>
                <c:pt idx="47">
                  <c:v>17.223772299417032</c:v>
                </c:pt>
                <c:pt idx="48">
                  <c:v>17.232445480875615</c:v>
                </c:pt>
                <c:pt idx="49">
                  <c:v>0</c:v>
                </c:pt>
              </c:numCache>
            </c:numRef>
          </c:xVal>
          <c:yVal>
            <c:numRef>
              <c:f>Formule!$F$2:$F$51</c:f>
              <c:numCache>
                <c:formatCode>0.000</c:formatCode>
                <c:ptCount val="50"/>
                <c:pt idx="0">
                  <c:v>19.913922089758433</c:v>
                </c:pt>
                <c:pt idx="1">
                  <c:v>90.817967389589455</c:v>
                </c:pt>
                <c:pt idx="2">
                  <c:v>15.006281265045684</c:v>
                </c:pt>
                <c:pt idx="3">
                  <c:v>15.006281265045684</c:v>
                </c:pt>
                <c:pt idx="4">
                  <c:v>15.006281265045684</c:v>
                </c:pt>
                <c:pt idx="5">
                  <c:v>90.817967389589455</c:v>
                </c:pt>
                <c:pt idx="6">
                  <c:v>74.3287630593572</c:v>
                </c:pt>
                <c:pt idx="7">
                  <c:v>15.006281265045684</c:v>
                </c:pt>
                <c:pt idx="8">
                  <c:v>90.817967389589455</c:v>
                </c:pt>
                <c:pt idx="9">
                  <c:v>90.817967389589455</c:v>
                </c:pt>
                <c:pt idx="10">
                  <c:v>74.3287630593572</c:v>
                </c:pt>
                <c:pt idx="11">
                  <c:v>15.006281265045684</c:v>
                </c:pt>
                <c:pt idx="12">
                  <c:v>19.913922089758433</c:v>
                </c:pt>
                <c:pt idx="13">
                  <c:v>19.913922089758433</c:v>
                </c:pt>
                <c:pt idx="14">
                  <c:v>19.913922089758433</c:v>
                </c:pt>
                <c:pt idx="15">
                  <c:v>19.913922089758433</c:v>
                </c:pt>
                <c:pt idx="16">
                  <c:v>15.006281265045684</c:v>
                </c:pt>
                <c:pt idx="17">
                  <c:v>74.3287630593572</c:v>
                </c:pt>
                <c:pt idx="18">
                  <c:v>74.3287630593572</c:v>
                </c:pt>
                <c:pt idx="19">
                  <c:v>90.817967389589455</c:v>
                </c:pt>
                <c:pt idx="20">
                  <c:v>19.913922089758433</c:v>
                </c:pt>
                <c:pt idx="21">
                  <c:v>15.006281265045684</c:v>
                </c:pt>
                <c:pt idx="22">
                  <c:v>90.817967389589455</c:v>
                </c:pt>
                <c:pt idx="23">
                  <c:v>19.913922089758433</c:v>
                </c:pt>
                <c:pt idx="24">
                  <c:v>74.3287630593572</c:v>
                </c:pt>
                <c:pt idx="25">
                  <c:v>74.3287630593572</c:v>
                </c:pt>
                <c:pt idx="26">
                  <c:v>90.817967389589455</c:v>
                </c:pt>
                <c:pt idx="27">
                  <c:v>19.913922089758433</c:v>
                </c:pt>
                <c:pt idx="28">
                  <c:v>74.3287630593572</c:v>
                </c:pt>
                <c:pt idx="29">
                  <c:v>15.006281265045684</c:v>
                </c:pt>
                <c:pt idx="30">
                  <c:v>90.817967389589455</c:v>
                </c:pt>
                <c:pt idx="31">
                  <c:v>19.913922089758433</c:v>
                </c:pt>
                <c:pt idx="32">
                  <c:v>74.3287630593572</c:v>
                </c:pt>
                <c:pt idx="33">
                  <c:v>15.006281265045684</c:v>
                </c:pt>
                <c:pt idx="34">
                  <c:v>90.817967389589455</c:v>
                </c:pt>
                <c:pt idx="35">
                  <c:v>19.913922089758433</c:v>
                </c:pt>
                <c:pt idx="36">
                  <c:v>74.3287630593572</c:v>
                </c:pt>
                <c:pt idx="37">
                  <c:v>15.006281265045684</c:v>
                </c:pt>
                <c:pt idx="38">
                  <c:v>90.817967389589455</c:v>
                </c:pt>
                <c:pt idx="39">
                  <c:v>19.913922089758433</c:v>
                </c:pt>
                <c:pt idx="40">
                  <c:v>74.3287630593572</c:v>
                </c:pt>
                <c:pt idx="41">
                  <c:v>15.006281265045684</c:v>
                </c:pt>
                <c:pt idx="42">
                  <c:v>90.817967389589455</c:v>
                </c:pt>
                <c:pt idx="43">
                  <c:v>19.913922089758433</c:v>
                </c:pt>
                <c:pt idx="44">
                  <c:v>74.3287630593572</c:v>
                </c:pt>
                <c:pt idx="45">
                  <c:v>15.006281265045684</c:v>
                </c:pt>
                <c:pt idx="46">
                  <c:v>90.817967389589455</c:v>
                </c:pt>
                <c:pt idx="47">
                  <c:v>19.913922089758433</c:v>
                </c:pt>
                <c:pt idx="48">
                  <c:v>74.3287630593572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26-42A8-B38F-91BFD55EB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52864"/>
        <c:axId val="51658752"/>
      </c:scatterChart>
      <c:valAx>
        <c:axId val="51652864"/>
        <c:scaling>
          <c:orientation val="minMax"/>
        </c:scaling>
        <c:delete val="0"/>
        <c:axPos val="b"/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58752"/>
        <c:crosses val="autoZero"/>
        <c:crossBetween val="midCat"/>
      </c:valAx>
      <c:valAx>
        <c:axId val="51658752"/>
        <c:scaling>
          <c:orientation val="minMax"/>
        </c:scaling>
        <c:delete val="0"/>
        <c:axPos val="l"/>
        <c:numFmt formatCode="0.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52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Kolmogorov-Smirnov</a:t>
            </a:r>
          </a:p>
        </c:rich>
      </c:tx>
      <c:layout>
        <c:manualLayout>
          <c:xMode val="edge"/>
          <c:yMode val="edge"/>
          <c:x val="0.37431192660550461"/>
          <c:y val="3.58422939068100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94495412844041E-2"/>
          <c:y val="0.14695391938955879"/>
          <c:w val="0.69357798165137619"/>
          <c:h val="0.598568403367227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Formule!$D$1</c:f>
              <c:strCache>
                <c:ptCount val="1"/>
                <c:pt idx="0">
                  <c:v>Obs Cum Freq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Formule!$C$2:$C$51</c:f>
              <c:numCache>
                <c:formatCode>0.000</c:formatCode>
                <c:ptCount val="50"/>
                <c:pt idx="0">
                  <c:v>-0.84469985260820879</c:v>
                </c:pt>
                <c:pt idx="1">
                  <c:v>1.3296286545373965</c:v>
                </c:pt>
                <c:pt idx="2">
                  <c:v>-1.0361640284813074</c:v>
                </c:pt>
                <c:pt idx="3">
                  <c:v>-1.0361640284813074</c:v>
                </c:pt>
                <c:pt idx="4">
                  <c:v>-1.0361640284813074</c:v>
                </c:pt>
                <c:pt idx="5">
                  <c:v>1.3296286545373965</c:v>
                </c:pt>
                <c:pt idx="6">
                  <c:v>0.65351435382403833</c:v>
                </c:pt>
                <c:pt idx="7">
                  <c:v>-1.0361640284813074</c:v>
                </c:pt>
                <c:pt idx="8">
                  <c:v>1.3296286545373965</c:v>
                </c:pt>
                <c:pt idx="9">
                  <c:v>1.3296286545373965</c:v>
                </c:pt>
                <c:pt idx="10">
                  <c:v>0.65351435382403833</c:v>
                </c:pt>
                <c:pt idx="11">
                  <c:v>-1.0361640284813074</c:v>
                </c:pt>
                <c:pt idx="12">
                  <c:v>-0.84469985260820879</c:v>
                </c:pt>
                <c:pt idx="13">
                  <c:v>-0.84469985260820879</c:v>
                </c:pt>
                <c:pt idx="14">
                  <c:v>-0.84469985260820879</c:v>
                </c:pt>
                <c:pt idx="15">
                  <c:v>-0.84469985260820879</c:v>
                </c:pt>
                <c:pt idx="16">
                  <c:v>-1.0361640284813074</c:v>
                </c:pt>
                <c:pt idx="17">
                  <c:v>0.65351435382403833</c:v>
                </c:pt>
                <c:pt idx="18">
                  <c:v>0.65351435382403833</c:v>
                </c:pt>
                <c:pt idx="19">
                  <c:v>1.3296286545373965</c:v>
                </c:pt>
                <c:pt idx="20">
                  <c:v>-0.84469985260820879</c:v>
                </c:pt>
                <c:pt idx="21">
                  <c:v>-1.0361640284813074</c:v>
                </c:pt>
                <c:pt idx="22">
                  <c:v>1.3296286545373965</c:v>
                </c:pt>
                <c:pt idx="23">
                  <c:v>-0.84469985260820879</c:v>
                </c:pt>
                <c:pt idx="24">
                  <c:v>0.65351435382403833</c:v>
                </c:pt>
                <c:pt idx="25">
                  <c:v>0.65351435382403833</c:v>
                </c:pt>
                <c:pt idx="26">
                  <c:v>1.3296286545373965</c:v>
                </c:pt>
                <c:pt idx="27">
                  <c:v>-0.84469985260820879</c:v>
                </c:pt>
                <c:pt idx="28">
                  <c:v>0.65351435382403833</c:v>
                </c:pt>
                <c:pt idx="29">
                  <c:v>-1.0361640284813074</c:v>
                </c:pt>
                <c:pt idx="30">
                  <c:v>1.3296286545373965</c:v>
                </c:pt>
                <c:pt idx="31">
                  <c:v>-0.84469985260820879</c:v>
                </c:pt>
                <c:pt idx="32">
                  <c:v>0.65351435382403833</c:v>
                </c:pt>
                <c:pt idx="33">
                  <c:v>-1.0361640284813074</c:v>
                </c:pt>
                <c:pt idx="34">
                  <c:v>1.3296286545373965</c:v>
                </c:pt>
                <c:pt idx="35">
                  <c:v>-0.84469985260820879</c:v>
                </c:pt>
                <c:pt idx="36">
                  <c:v>0.65351435382403833</c:v>
                </c:pt>
                <c:pt idx="37">
                  <c:v>-1.0361640284813074</c:v>
                </c:pt>
                <c:pt idx="38">
                  <c:v>1.3296286545373965</c:v>
                </c:pt>
                <c:pt idx="39">
                  <c:v>-0.84469985260820879</c:v>
                </c:pt>
                <c:pt idx="40">
                  <c:v>0.65351435382403833</c:v>
                </c:pt>
                <c:pt idx="41">
                  <c:v>-1.0361640284813074</c:v>
                </c:pt>
                <c:pt idx="42">
                  <c:v>1.3296286545373965</c:v>
                </c:pt>
                <c:pt idx="43">
                  <c:v>-0.84469985260820879</c:v>
                </c:pt>
                <c:pt idx="44">
                  <c:v>0.65351435382403833</c:v>
                </c:pt>
                <c:pt idx="45">
                  <c:v>-1.0361640284813074</c:v>
                </c:pt>
                <c:pt idx="46">
                  <c:v>1.3296286545373965</c:v>
                </c:pt>
                <c:pt idx="47">
                  <c:v>-0.84469985260820879</c:v>
                </c:pt>
                <c:pt idx="48">
                  <c:v>0.65351435382403833</c:v>
                </c:pt>
                <c:pt idx="49">
                  <c:v>-2976.096684440527</c:v>
                </c:pt>
              </c:numCache>
            </c:numRef>
          </c:xVal>
          <c:yVal>
            <c:numRef>
              <c:f>Formule!$D$2:$D$51</c:f>
              <c:numCache>
                <c:formatCode>General</c:formatCode>
                <c:ptCount val="50"/>
                <c:pt idx="0">
                  <c:v>0.28000000000000003</c:v>
                </c:pt>
                <c:pt idx="1">
                  <c:v>0.78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0.78</c:v>
                </c:pt>
                <c:pt idx="6">
                  <c:v>0.54</c:v>
                </c:pt>
                <c:pt idx="7">
                  <c:v>0.04</c:v>
                </c:pt>
                <c:pt idx="8">
                  <c:v>0.78</c:v>
                </c:pt>
                <c:pt idx="9">
                  <c:v>0.78</c:v>
                </c:pt>
                <c:pt idx="10">
                  <c:v>0.54</c:v>
                </c:pt>
                <c:pt idx="11">
                  <c:v>0.04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0.04</c:v>
                </c:pt>
                <c:pt idx="17">
                  <c:v>0.54</c:v>
                </c:pt>
                <c:pt idx="18">
                  <c:v>0.54</c:v>
                </c:pt>
                <c:pt idx="19">
                  <c:v>0.78</c:v>
                </c:pt>
                <c:pt idx="20">
                  <c:v>0.28000000000000003</c:v>
                </c:pt>
                <c:pt idx="21">
                  <c:v>0.04</c:v>
                </c:pt>
                <c:pt idx="22">
                  <c:v>0.78</c:v>
                </c:pt>
                <c:pt idx="23">
                  <c:v>0.28000000000000003</c:v>
                </c:pt>
                <c:pt idx="24">
                  <c:v>0.54</c:v>
                </c:pt>
                <c:pt idx="25">
                  <c:v>0.54</c:v>
                </c:pt>
                <c:pt idx="26">
                  <c:v>0.78</c:v>
                </c:pt>
                <c:pt idx="27">
                  <c:v>0.28000000000000003</c:v>
                </c:pt>
                <c:pt idx="28">
                  <c:v>0.54</c:v>
                </c:pt>
                <c:pt idx="29">
                  <c:v>0.04</c:v>
                </c:pt>
                <c:pt idx="30">
                  <c:v>0.78</c:v>
                </c:pt>
                <c:pt idx="31">
                  <c:v>0.28000000000000003</c:v>
                </c:pt>
                <c:pt idx="32">
                  <c:v>0.54</c:v>
                </c:pt>
                <c:pt idx="33">
                  <c:v>0.04</c:v>
                </c:pt>
                <c:pt idx="34">
                  <c:v>0.78</c:v>
                </c:pt>
                <c:pt idx="35">
                  <c:v>0.28000000000000003</c:v>
                </c:pt>
                <c:pt idx="36">
                  <c:v>0.54</c:v>
                </c:pt>
                <c:pt idx="37">
                  <c:v>0.04</c:v>
                </c:pt>
                <c:pt idx="38">
                  <c:v>0.78</c:v>
                </c:pt>
                <c:pt idx="39">
                  <c:v>0.28000000000000003</c:v>
                </c:pt>
                <c:pt idx="40">
                  <c:v>0.54</c:v>
                </c:pt>
                <c:pt idx="41">
                  <c:v>0.04</c:v>
                </c:pt>
                <c:pt idx="42">
                  <c:v>0.78</c:v>
                </c:pt>
                <c:pt idx="43">
                  <c:v>0.28000000000000003</c:v>
                </c:pt>
                <c:pt idx="44">
                  <c:v>0.54</c:v>
                </c:pt>
                <c:pt idx="45">
                  <c:v>0.04</c:v>
                </c:pt>
                <c:pt idx="46">
                  <c:v>0.78</c:v>
                </c:pt>
                <c:pt idx="47">
                  <c:v>0.28000000000000003</c:v>
                </c:pt>
                <c:pt idx="48">
                  <c:v>0.54</c:v>
                </c:pt>
                <c:pt idx="49">
                  <c:v>0.02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80-4252-83CF-44644B3C92A9}"/>
            </c:ext>
          </c:extLst>
        </c:ser>
        <c:ser>
          <c:idx val="1"/>
          <c:order val="1"/>
          <c:tx>
            <c:strRef>
              <c:f>Formule!$E$1</c:f>
              <c:strCache>
                <c:ptCount val="1"/>
                <c:pt idx="0">
                  <c:v>Exp Norm Dist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Formule!$C$2:$C$51</c:f>
              <c:numCache>
                <c:formatCode>0.000</c:formatCode>
                <c:ptCount val="50"/>
                <c:pt idx="0">
                  <c:v>-0.84469985260820879</c:v>
                </c:pt>
                <c:pt idx="1">
                  <c:v>1.3296286545373965</c:v>
                </c:pt>
                <c:pt idx="2">
                  <c:v>-1.0361640284813074</c:v>
                </c:pt>
                <c:pt idx="3">
                  <c:v>-1.0361640284813074</c:v>
                </c:pt>
                <c:pt idx="4">
                  <c:v>-1.0361640284813074</c:v>
                </c:pt>
                <c:pt idx="5">
                  <c:v>1.3296286545373965</c:v>
                </c:pt>
                <c:pt idx="6">
                  <c:v>0.65351435382403833</c:v>
                </c:pt>
                <c:pt idx="7">
                  <c:v>-1.0361640284813074</c:v>
                </c:pt>
                <c:pt idx="8">
                  <c:v>1.3296286545373965</c:v>
                </c:pt>
                <c:pt idx="9">
                  <c:v>1.3296286545373965</c:v>
                </c:pt>
                <c:pt idx="10">
                  <c:v>0.65351435382403833</c:v>
                </c:pt>
                <c:pt idx="11">
                  <c:v>-1.0361640284813074</c:v>
                </c:pt>
                <c:pt idx="12">
                  <c:v>-0.84469985260820879</c:v>
                </c:pt>
                <c:pt idx="13">
                  <c:v>-0.84469985260820879</c:v>
                </c:pt>
                <c:pt idx="14">
                  <c:v>-0.84469985260820879</c:v>
                </c:pt>
                <c:pt idx="15">
                  <c:v>-0.84469985260820879</c:v>
                </c:pt>
                <c:pt idx="16">
                  <c:v>-1.0361640284813074</c:v>
                </c:pt>
                <c:pt idx="17">
                  <c:v>0.65351435382403833</c:v>
                </c:pt>
                <c:pt idx="18">
                  <c:v>0.65351435382403833</c:v>
                </c:pt>
                <c:pt idx="19">
                  <c:v>1.3296286545373965</c:v>
                </c:pt>
                <c:pt idx="20">
                  <c:v>-0.84469985260820879</c:v>
                </c:pt>
                <c:pt idx="21">
                  <c:v>-1.0361640284813074</c:v>
                </c:pt>
                <c:pt idx="22">
                  <c:v>1.3296286545373965</c:v>
                </c:pt>
                <c:pt idx="23">
                  <c:v>-0.84469985260820879</c:v>
                </c:pt>
                <c:pt idx="24">
                  <c:v>0.65351435382403833</c:v>
                </c:pt>
                <c:pt idx="25">
                  <c:v>0.65351435382403833</c:v>
                </c:pt>
                <c:pt idx="26">
                  <c:v>1.3296286545373965</c:v>
                </c:pt>
                <c:pt idx="27">
                  <c:v>-0.84469985260820879</c:v>
                </c:pt>
                <c:pt idx="28">
                  <c:v>0.65351435382403833</c:v>
                </c:pt>
                <c:pt idx="29">
                  <c:v>-1.0361640284813074</c:v>
                </c:pt>
                <c:pt idx="30">
                  <c:v>1.3296286545373965</c:v>
                </c:pt>
                <c:pt idx="31">
                  <c:v>-0.84469985260820879</c:v>
                </c:pt>
                <c:pt idx="32">
                  <c:v>0.65351435382403833</c:v>
                </c:pt>
                <c:pt idx="33">
                  <c:v>-1.0361640284813074</c:v>
                </c:pt>
                <c:pt idx="34">
                  <c:v>1.3296286545373965</c:v>
                </c:pt>
                <c:pt idx="35">
                  <c:v>-0.84469985260820879</c:v>
                </c:pt>
                <c:pt idx="36">
                  <c:v>0.65351435382403833</c:v>
                </c:pt>
                <c:pt idx="37">
                  <c:v>-1.0361640284813074</c:v>
                </c:pt>
                <c:pt idx="38">
                  <c:v>1.3296286545373965</c:v>
                </c:pt>
                <c:pt idx="39">
                  <c:v>-0.84469985260820879</c:v>
                </c:pt>
                <c:pt idx="40">
                  <c:v>0.65351435382403833</c:v>
                </c:pt>
                <c:pt idx="41">
                  <c:v>-1.0361640284813074</c:v>
                </c:pt>
                <c:pt idx="42">
                  <c:v>1.3296286545373965</c:v>
                </c:pt>
                <c:pt idx="43">
                  <c:v>-0.84469985260820879</c:v>
                </c:pt>
                <c:pt idx="44">
                  <c:v>0.65351435382403833</c:v>
                </c:pt>
                <c:pt idx="45">
                  <c:v>-1.0361640284813074</c:v>
                </c:pt>
                <c:pt idx="46">
                  <c:v>1.3296286545373965</c:v>
                </c:pt>
                <c:pt idx="47">
                  <c:v>-0.84469985260820879</c:v>
                </c:pt>
                <c:pt idx="48">
                  <c:v>0.65351435382403833</c:v>
                </c:pt>
                <c:pt idx="49">
                  <c:v>-2976.096684440527</c:v>
                </c:pt>
              </c:numCache>
            </c:numRef>
          </c:xVal>
          <c:yVal>
            <c:numRef>
              <c:f>Formule!$E$2:$E$51</c:f>
              <c:numCache>
                <c:formatCode>0.000</c:formatCode>
                <c:ptCount val="50"/>
                <c:pt idx="0">
                  <c:v>0.19913922089758435</c:v>
                </c:pt>
                <c:pt idx="1">
                  <c:v>0.90817967389589449</c:v>
                </c:pt>
                <c:pt idx="2">
                  <c:v>0.15006281265045684</c:v>
                </c:pt>
                <c:pt idx="3">
                  <c:v>0.15006281265045684</c:v>
                </c:pt>
                <c:pt idx="4">
                  <c:v>0.15006281265045684</c:v>
                </c:pt>
                <c:pt idx="5">
                  <c:v>0.90817967389589449</c:v>
                </c:pt>
                <c:pt idx="6">
                  <c:v>0.74328763059357206</c:v>
                </c:pt>
                <c:pt idx="7">
                  <c:v>0.15006281265045684</c:v>
                </c:pt>
                <c:pt idx="8">
                  <c:v>0.90817967389589449</c:v>
                </c:pt>
                <c:pt idx="9">
                  <c:v>0.90817967389589449</c:v>
                </c:pt>
                <c:pt idx="10">
                  <c:v>0.74328763059357206</c:v>
                </c:pt>
                <c:pt idx="11">
                  <c:v>0.15006281265045684</c:v>
                </c:pt>
                <c:pt idx="12">
                  <c:v>0.19913922089758435</c:v>
                </c:pt>
                <c:pt idx="13">
                  <c:v>0.19913922089758435</c:v>
                </c:pt>
                <c:pt idx="14">
                  <c:v>0.19913922089758435</c:v>
                </c:pt>
                <c:pt idx="15">
                  <c:v>0.19913922089758435</c:v>
                </c:pt>
                <c:pt idx="16">
                  <c:v>0.15006281265045684</c:v>
                </c:pt>
                <c:pt idx="17">
                  <c:v>0.74328763059357206</c:v>
                </c:pt>
                <c:pt idx="18">
                  <c:v>0.74328763059357206</c:v>
                </c:pt>
                <c:pt idx="19">
                  <c:v>0.90817967389589449</c:v>
                </c:pt>
                <c:pt idx="20">
                  <c:v>0.19913922089758435</c:v>
                </c:pt>
                <c:pt idx="21">
                  <c:v>0.15006281265045684</c:v>
                </c:pt>
                <c:pt idx="22">
                  <c:v>0.90817967389589449</c:v>
                </c:pt>
                <c:pt idx="23">
                  <c:v>0.19913922089758435</c:v>
                </c:pt>
                <c:pt idx="24">
                  <c:v>0.74328763059357206</c:v>
                </c:pt>
                <c:pt idx="25">
                  <c:v>0.74328763059357206</c:v>
                </c:pt>
                <c:pt idx="26">
                  <c:v>0.90817967389589449</c:v>
                </c:pt>
                <c:pt idx="27">
                  <c:v>0.19913922089758435</c:v>
                </c:pt>
                <c:pt idx="28">
                  <c:v>0.74328763059357206</c:v>
                </c:pt>
                <c:pt idx="29">
                  <c:v>0.15006281265045684</c:v>
                </c:pt>
                <c:pt idx="30">
                  <c:v>0.90817967389589449</c:v>
                </c:pt>
                <c:pt idx="31">
                  <c:v>0.19913922089758435</c:v>
                </c:pt>
                <c:pt idx="32">
                  <c:v>0.74328763059357206</c:v>
                </c:pt>
                <c:pt idx="33">
                  <c:v>0.15006281265045684</c:v>
                </c:pt>
                <c:pt idx="34">
                  <c:v>0.90817967389589449</c:v>
                </c:pt>
                <c:pt idx="35">
                  <c:v>0.19913922089758435</c:v>
                </c:pt>
                <c:pt idx="36">
                  <c:v>0.74328763059357206</c:v>
                </c:pt>
                <c:pt idx="37">
                  <c:v>0.15006281265045684</c:v>
                </c:pt>
                <c:pt idx="38">
                  <c:v>0.90817967389589449</c:v>
                </c:pt>
                <c:pt idx="39">
                  <c:v>0.19913922089758435</c:v>
                </c:pt>
                <c:pt idx="40">
                  <c:v>0.74328763059357206</c:v>
                </c:pt>
                <c:pt idx="41">
                  <c:v>0.15006281265045684</c:v>
                </c:pt>
                <c:pt idx="42">
                  <c:v>0.90817967389589449</c:v>
                </c:pt>
                <c:pt idx="43">
                  <c:v>0.19913922089758435</c:v>
                </c:pt>
                <c:pt idx="44">
                  <c:v>0.74328763059357206</c:v>
                </c:pt>
                <c:pt idx="45">
                  <c:v>0.15006281265045684</c:v>
                </c:pt>
                <c:pt idx="46">
                  <c:v>0.90817967389589449</c:v>
                </c:pt>
                <c:pt idx="47">
                  <c:v>0.19913922089758435</c:v>
                </c:pt>
                <c:pt idx="48">
                  <c:v>0.74328763059357206</c:v>
                </c:pt>
                <c:pt idx="4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80-4252-83CF-44644B3C9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18304"/>
        <c:axId val="51219840"/>
      </c:scatterChart>
      <c:valAx>
        <c:axId val="5121830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19840"/>
        <c:crosses val="autoZero"/>
        <c:crossBetween val="midCat"/>
      </c:valAx>
      <c:valAx>
        <c:axId val="5121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183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8165137614683"/>
          <c:y val="0.32616600344311802"/>
          <c:w val="0.12293577981651371"/>
          <c:h val="0.17921222212814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SPC!#REF!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7-4B88-B17B-989A1C305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0208"/>
        <c:axId val="51232128"/>
      </c:lineChart>
      <c:catAx>
        <c:axId val="51230208"/>
        <c:scaling>
          <c:orientation val="minMax"/>
        </c:scaling>
        <c:delete val="1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out"/>
        <c:minorTickMark val="none"/>
        <c:tickLblPos val="nextTo"/>
        <c:crossAx val="51232128"/>
        <c:crosses val="autoZero"/>
        <c:auto val="1"/>
        <c:lblAlgn val="ctr"/>
        <c:lblOffset val="100"/>
        <c:noMultiLvlLbl val="0"/>
      </c:catAx>
      <c:valAx>
        <c:axId val="51232128"/>
        <c:scaling>
          <c:orientation val="minMax"/>
          <c:max val="4"/>
          <c:min val="1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30208"/>
        <c:crosses val="autoZero"/>
        <c:crossBetween val="between"/>
        <c:majorUnit val="0.5"/>
      </c:valAx>
      <c:spPr>
        <a:solidFill>
          <a:srgbClr val="CCCC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0479869261625E-2"/>
          <c:y val="0.12101096340761321"/>
          <c:w val="0.86744284547924855"/>
          <c:h val="0.75324675324675328"/>
        </c:manualLayout>
      </c:layout>
      <c:barChart>
        <c:barDir val="col"/>
        <c:grouping val="clustered"/>
        <c:varyColors val="0"/>
        <c:ser>
          <c:idx val="0"/>
          <c:order val="0"/>
          <c:tx>
            <c:v>IN SPEC VALUES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Formule!$AE$22:$AE$30</c:f>
              <c:numCache>
                <c:formatCode>General</c:formatCode>
                <c:ptCount val="9"/>
                <c:pt idx="0">
                  <c:v>17.139999999999997</c:v>
                </c:pt>
                <c:pt idx="1">
                  <c:v>17.179999999999996</c:v>
                </c:pt>
                <c:pt idx="2">
                  <c:v>17.219999999999995</c:v>
                </c:pt>
                <c:pt idx="3">
                  <c:v>17.259999999999994</c:v>
                </c:pt>
                <c:pt idx="4">
                  <c:v>17.299999999999994</c:v>
                </c:pt>
                <c:pt idx="5">
                  <c:v>17.339999999999993</c:v>
                </c:pt>
                <c:pt idx="6">
                  <c:v>17.379999999999992</c:v>
                </c:pt>
                <c:pt idx="7">
                  <c:v>17.419999999999991</c:v>
                </c:pt>
                <c:pt idx="8">
                  <c:v>17.45999999999999</c:v>
                </c:pt>
              </c:numCache>
            </c:numRef>
          </c:cat>
          <c:val>
            <c:numRef>
              <c:f>Formule!$AJ$22:$AJ$30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5-492D-B7DD-7EEE421DC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6944"/>
        <c:axId val="51134848"/>
      </c:barChart>
      <c:catAx>
        <c:axId val="95586944"/>
        <c:scaling>
          <c:orientation val="minMax"/>
        </c:scaling>
        <c:delete val="0"/>
        <c:axPos val="b"/>
        <c:numFmt formatCode="0.00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13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134848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558694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K9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Drop" dropLines="5" dropStyle="combo" dx="15" fmlaLink="Formule!$K$1" fmlaRange="Formule!$K$2:$K$4" sel="1" val="0"/>
</file>

<file path=xl/ctrlProps/ctrlProp5.xml><?xml version="1.0" encoding="utf-8"?>
<formControlPr xmlns="http://schemas.microsoft.com/office/spreadsheetml/2009/9/main" objectType="Drop" dropLines="5" dropStyle="combo" dx="15" fmlaLink="Formule!$BC$1" fmlaRange="Formule!$BC$2:$BC$3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25978</xdr:rowOff>
    </xdr:from>
    <xdr:to>
      <xdr:col>74</xdr:col>
      <xdr:colOff>361950</xdr:colOff>
      <xdr:row>28</xdr:row>
      <xdr:rowOff>571500</xdr:rowOff>
    </xdr:to>
    <xdr:graphicFrame macro="">
      <xdr:nvGraphicFramePr>
        <xdr:cNvPr id="2614" name="Chart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11</xdr:row>
      <xdr:rowOff>0</xdr:rowOff>
    </xdr:from>
    <xdr:to>
      <xdr:col>74</xdr:col>
      <xdr:colOff>266700</xdr:colOff>
      <xdr:row>19</xdr:row>
      <xdr:rowOff>702180</xdr:rowOff>
    </xdr:to>
    <xdr:graphicFrame macro="">
      <xdr:nvGraphicFramePr>
        <xdr:cNvPr id="2615" name="Chart 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86591</xdr:colOff>
      <xdr:row>40</xdr:row>
      <xdr:rowOff>9525</xdr:rowOff>
    </xdr:from>
    <xdr:to>
      <xdr:col>17</xdr:col>
      <xdr:colOff>285750</xdr:colOff>
      <xdr:row>53</xdr:row>
      <xdr:rowOff>114300</xdr:rowOff>
    </xdr:to>
    <xdr:graphicFrame macro="">
      <xdr:nvGraphicFramePr>
        <xdr:cNvPr id="2617" name="Chart 55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409575</xdr:colOff>
      <xdr:row>8</xdr:row>
      <xdr:rowOff>9525</xdr:rowOff>
    </xdr:from>
    <xdr:to>
      <xdr:col>28</xdr:col>
      <xdr:colOff>352425</xdr:colOff>
      <xdr:row>8</xdr:row>
      <xdr:rowOff>9525</xdr:rowOff>
    </xdr:to>
    <xdr:sp macro="" textlink="">
      <xdr:nvSpPr>
        <xdr:cNvPr id="2618" name="Line 5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ShapeType="1"/>
        </xdr:cNvSpPr>
      </xdr:nvSpPr>
      <xdr:spPr bwMode="auto">
        <a:xfrm>
          <a:off x="6743700" y="989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28575</xdr:colOff>
      <xdr:row>7</xdr:row>
      <xdr:rowOff>19050</xdr:rowOff>
    </xdr:from>
    <xdr:to>
      <xdr:col>30</xdr:col>
      <xdr:colOff>85725</xdr:colOff>
      <xdr:row>7</xdr:row>
      <xdr:rowOff>19050</xdr:rowOff>
    </xdr:to>
    <xdr:sp macro="" textlink="">
      <xdr:nvSpPr>
        <xdr:cNvPr id="2619" name="Line 5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ShapeType="1"/>
        </xdr:cNvSpPr>
      </xdr:nvSpPr>
      <xdr:spPr bwMode="auto">
        <a:xfrm>
          <a:off x="7124700" y="9096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28575</xdr:colOff>
      <xdr:row>1</xdr:row>
      <xdr:rowOff>142875</xdr:rowOff>
    </xdr:from>
    <xdr:to>
      <xdr:col>38</xdr:col>
      <xdr:colOff>85725</xdr:colOff>
      <xdr:row>1</xdr:row>
      <xdr:rowOff>142875</xdr:rowOff>
    </xdr:to>
    <xdr:sp macro="" textlink="">
      <xdr:nvSpPr>
        <xdr:cNvPr id="2620" name="Line 5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ShapeType="1"/>
        </xdr:cNvSpPr>
      </xdr:nvSpPr>
      <xdr:spPr bwMode="auto">
        <a:xfrm>
          <a:off x="7124700" y="9058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2485</xdr:colOff>
      <xdr:row>41</xdr:row>
      <xdr:rowOff>92351</xdr:rowOff>
    </xdr:from>
    <xdr:to>
      <xdr:col>34</xdr:col>
      <xdr:colOff>361950</xdr:colOff>
      <xdr:row>52</xdr:row>
      <xdr:rowOff>111401</xdr:rowOff>
    </xdr:to>
    <xdr:graphicFrame macro="">
      <xdr:nvGraphicFramePr>
        <xdr:cNvPr id="2621" name="Chart 5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228600</xdr:colOff>
      <xdr:row>40</xdr:row>
      <xdr:rowOff>161925</xdr:rowOff>
    </xdr:from>
    <xdr:to>
      <xdr:col>2</xdr:col>
      <xdr:colOff>228600</xdr:colOff>
      <xdr:row>49</xdr:row>
      <xdr:rowOff>104775</xdr:rowOff>
    </xdr:to>
    <xdr:sp macro="" textlink="">
      <xdr:nvSpPr>
        <xdr:cNvPr id="2622" name="Line 53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ShapeType="1"/>
        </xdr:cNvSpPr>
      </xdr:nvSpPr>
      <xdr:spPr bwMode="auto">
        <a:xfrm>
          <a:off x="628650" y="8410575"/>
          <a:ext cx="0" cy="1419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238125</xdr:colOff>
      <xdr:row>40</xdr:row>
      <xdr:rowOff>114300</xdr:rowOff>
    </xdr:from>
    <xdr:to>
      <xdr:col>3</xdr:col>
      <xdr:colOff>200025</xdr:colOff>
      <xdr:row>41</xdr:row>
      <xdr:rowOff>133350</xdr:rowOff>
    </xdr:to>
    <xdr:sp macro="" textlink="">
      <xdr:nvSpPr>
        <xdr:cNvPr id="2580" name="Text Box 53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638175" y="8362950"/>
          <a:ext cx="3143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PH" sz="850" b="1" i="0" u="none" strike="noStrike" baseline="0">
              <a:solidFill>
                <a:srgbClr val="FF0000"/>
              </a:solidFill>
              <a:latin typeface="Arial"/>
              <a:cs typeface="Arial"/>
            </a:rPr>
            <a:t>LSL</a:t>
          </a:r>
        </a:p>
      </xdr:txBody>
    </xdr:sp>
    <xdr:clientData fLocksWithSheet="0"/>
  </xdr:twoCellAnchor>
  <xdr:twoCellAnchor>
    <xdr:from>
      <xdr:col>2</xdr:col>
      <xdr:colOff>228600</xdr:colOff>
      <xdr:row>41</xdr:row>
      <xdr:rowOff>114300</xdr:rowOff>
    </xdr:from>
    <xdr:to>
      <xdr:col>3</xdr:col>
      <xdr:colOff>190500</xdr:colOff>
      <xdr:row>42</xdr:row>
      <xdr:rowOff>152400</xdr:rowOff>
    </xdr:to>
    <xdr:sp macro="" textlink="$AH$3">
      <xdr:nvSpPr>
        <xdr:cNvPr id="2581" name="Text Box 533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 noTextEdit="1"/>
        </xdr:cNvSpPr>
      </xdr:nvSpPr>
      <xdr:spPr bwMode="auto">
        <a:xfrm>
          <a:off x="628650" y="8543925"/>
          <a:ext cx="3143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48DC26CB-7B0A-443C-9BD8-BEAB2EF8796D}" type="TxLink">
            <a:rPr lang="en-PH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17.20</a:t>
          </a:fld>
          <a:endParaRPr lang="en-P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9</xdr:col>
      <xdr:colOff>276225</xdr:colOff>
      <xdr:row>40</xdr:row>
      <xdr:rowOff>142875</xdr:rowOff>
    </xdr:from>
    <xdr:to>
      <xdr:col>9</xdr:col>
      <xdr:colOff>276225</xdr:colOff>
      <xdr:row>49</xdr:row>
      <xdr:rowOff>85725</xdr:rowOff>
    </xdr:to>
    <xdr:sp macro="" textlink="">
      <xdr:nvSpPr>
        <xdr:cNvPr id="2625" name="Line 53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ShapeType="1"/>
        </xdr:cNvSpPr>
      </xdr:nvSpPr>
      <xdr:spPr bwMode="auto">
        <a:xfrm>
          <a:off x="3143250" y="8391525"/>
          <a:ext cx="0" cy="1419225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304799</xdr:colOff>
      <xdr:row>43</xdr:row>
      <xdr:rowOff>9525</xdr:rowOff>
    </xdr:from>
    <xdr:to>
      <xdr:col>11</xdr:col>
      <xdr:colOff>238124</xdr:colOff>
      <xdr:row>44</xdr:row>
      <xdr:rowOff>47625</xdr:rowOff>
    </xdr:to>
    <xdr:sp macro="" textlink="">
      <xdr:nvSpPr>
        <xdr:cNvPr id="2583" name="Text Box 535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3905249" y="11658600"/>
          <a:ext cx="638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PH" sz="850" b="1" i="0" u="none" strike="noStrike" baseline="0">
              <a:solidFill>
                <a:srgbClr val="0000FF"/>
              </a:solidFill>
              <a:latin typeface="Arial"/>
              <a:cs typeface="Arial"/>
            </a:rPr>
            <a:t>TARGET</a:t>
          </a:r>
        </a:p>
      </xdr:txBody>
    </xdr:sp>
    <xdr:clientData fLocksWithSheet="0"/>
  </xdr:twoCellAnchor>
  <xdr:twoCellAnchor>
    <xdr:from>
      <xdr:col>10</xdr:col>
      <xdr:colOff>38100</xdr:colOff>
      <xdr:row>44</xdr:row>
      <xdr:rowOff>28575</xdr:rowOff>
    </xdr:from>
    <xdr:to>
      <xdr:col>11</xdr:col>
      <xdr:colOff>38100</xdr:colOff>
      <xdr:row>45</xdr:row>
      <xdr:rowOff>85725</xdr:rowOff>
    </xdr:to>
    <xdr:sp macro="" textlink="$AH$4">
      <xdr:nvSpPr>
        <xdr:cNvPr id="2584" name="Text Box 536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7550" y="8943975"/>
          <a:ext cx="3524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E3CF24A5-E40A-4B22-9661-4BE15A8D8C0E}" type="TxLink">
            <a:rPr lang="en-PH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17.30</a:t>
          </a:fld>
          <a:endParaRPr lang="en-P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16</xdr:col>
      <xdr:colOff>323850</xdr:colOff>
      <xdr:row>40</xdr:row>
      <xdr:rowOff>171450</xdr:rowOff>
    </xdr:from>
    <xdr:to>
      <xdr:col>16</xdr:col>
      <xdr:colOff>323850</xdr:colOff>
      <xdr:row>49</xdr:row>
      <xdr:rowOff>114300</xdr:rowOff>
    </xdr:to>
    <xdr:sp macro="" textlink="">
      <xdr:nvSpPr>
        <xdr:cNvPr id="2628" name="Line 53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ShapeType="1"/>
        </xdr:cNvSpPr>
      </xdr:nvSpPr>
      <xdr:spPr bwMode="auto">
        <a:xfrm>
          <a:off x="5821136" y="8667750"/>
          <a:ext cx="0" cy="158115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16</xdr:col>
      <xdr:colOff>9525</xdr:colOff>
      <xdr:row>40</xdr:row>
      <xdr:rowOff>114300</xdr:rowOff>
    </xdr:from>
    <xdr:to>
      <xdr:col>16</xdr:col>
      <xdr:colOff>323850</xdr:colOff>
      <xdr:row>41</xdr:row>
      <xdr:rowOff>142875</xdr:rowOff>
    </xdr:to>
    <xdr:sp macro="" textlink="">
      <xdr:nvSpPr>
        <xdr:cNvPr id="2586" name="Text Box 538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5343525" y="8362950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PH" sz="850" b="1" i="0" u="none" strike="noStrike" baseline="0">
              <a:solidFill>
                <a:srgbClr val="FF0000"/>
              </a:solidFill>
              <a:latin typeface="Arial"/>
              <a:cs typeface="Arial"/>
            </a:rPr>
            <a:t>USL</a:t>
          </a:r>
        </a:p>
      </xdr:txBody>
    </xdr:sp>
    <xdr:clientData fLocksWithSheet="0"/>
  </xdr:twoCellAnchor>
  <xdr:twoCellAnchor>
    <xdr:from>
      <xdr:col>16</xdr:col>
      <xdr:colOff>9525</xdr:colOff>
      <xdr:row>41</xdr:row>
      <xdr:rowOff>114300</xdr:rowOff>
    </xdr:from>
    <xdr:to>
      <xdr:col>16</xdr:col>
      <xdr:colOff>323850</xdr:colOff>
      <xdr:row>43</xdr:row>
      <xdr:rowOff>38100</xdr:rowOff>
    </xdr:to>
    <xdr:sp macro="" textlink="$AH$5">
      <xdr:nvSpPr>
        <xdr:cNvPr id="2587" name="Text Box 539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 noTextEdit="1"/>
        </xdr:cNvSpPr>
      </xdr:nvSpPr>
      <xdr:spPr bwMode="auto">
        <a:xfrm>
          <a:off x="5343525" y="85439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fld id="{A0C407FF-AE5C-4EA1-8244-A6B0E5033939}" type="TxLink">
            <a:rPr lang="en-PH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17.40</a:t>
          </a:fld>
          <a:endParaRPr lang="en-PH" sz="85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7</xdr:row>
          <xdr:rowOff>198120</xdr:rowOff>
        </xdr:from>
        <xdr:to>
          <xdr:col>4</xdr:col>
          <xdr:colOff>220980</xdr:colOff>
          <xdr:row>9</xdr:row>
          <xdr:rowOff>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Two sided spec (bilateral)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8</xdr:row>
          <xdr:rowOff>30480</xdr:rowOff>
        </xdr:from>
        <xdr:to>
          <xdr:col>9</xdr:col>
          <xdr:colOff>0</xdr:colOff>
          <xdr:row>9</xdr:row>
          <xdr:rowOff>30480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 sided (MIN)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99060</xdr:colOff>
          <xdr:row>8</xdr:row>
          <xdr:rowOff>7620</xdr:rowOff>
        </xdr:from>
        <xdr:to>
          <xdr:col>15</xdr:col>
          <xdr:colOff>60960</xdr:colOff>
          <xdr:row>9</xdr:row>
          <xdr:rowOff>22860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One sided (MAX)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6</xdr:row>
          <xdr:rowOff>45720</xdr:rowOff>
        </xdr:from>
        <xdr:to>
          <xdr:col>16</xdr:col>
          <xdr:colOff>342900</xdr:colOff>
          <xdr:row>7</xdr:row>
          <xdr:rowOff>76200</xdr:rowOff>
        </xdr:to>
        <xdr:sp macro="" textlink="">
          <xdr:nvSpPr>
            <xdr:cNvPr id="2590" name="Drop Down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236220</xdr:colOff>
          <xdr:row>3</xdr:row>
          <xdr:rowOff>144780</xdr:rowOff>
        </xdr:from>
        <xdr:to>
          <xdr:col>14</xdr:col>
          <xdr:colOff>160020</xdr:colOff>
          <xdr:row>5</xdr:row>
          <xdr:rowOff>76200</xdr:rowOff>
        </xdr:to>
        <xdr:sp macro="" textlink="">
          <xdr:nvSpPr>
            <xdr:cNvPr id="2599" name="Drop Down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0.01991</cdr:x>
      <cdr:y>0.10125</cdr:y>
    </cdr:from>
    <cdr:to>
      <cdr:x>0.03541</cdr:x>
      <cdr:y>0.82606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030" y="242943"/>
          <a:ext cx="94243" cy="173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" wrap="square" lIns="27432" tIns="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PH" sz="1125" b="1" i="0" u="none" strike="noStrike" baseline="0">
              <a:solidFill>
                <a:srgbClr val="000000"/>
              </a:solidFill>
              <a:latin typeface="Times"/>
              <a:cs typeface="Times"/>
            </a:rPr>
            <a:t>FREQUENCY</a:t>
          </a:r>
        </a:p>
      </cdr:txBody>
    </cdr:sp>
  </cdr:relSizeAnchor>
  <cdr:relSizeAnchor xmlns:cdr="http://schemas.openxmlformats.org/drawingml/2006/chartDrawing">
    <cdr:from>
      <cdr:x>0.45753</cdr:x>
      <cdr:y>0.91286</cdr:y>
    </cdr:from>
    <cdr:to>
      <cdr:x>0.57689</cdr:x>
      <cdr:y>0.98484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0235" y="2190346"/>
          <a:ext cx="686197" cy="172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PH" sz="1125" b="1" i="0" u="none" strike="noStrike" baseline="0">
              <a:solidFill>
                <a:srgbClr val="000000"/>
              </a:solidFill>
              <a:latin typeface="Times"/>
              <a:cs typeface="Times"/>
            </a:rPr>
            <a:t>RANGE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10</xdr:col>
      <xdr:colOff>314325</xdr:colOff>
      <xdr:row>17</xdr:row>
      <xdr:rowOff>66675</xdr:rowOff>
    </xdr:to>
    <xdr:graphicFrame macro="">
      <xdr:nvGraphicFramePr>
        <xdr:cNvPr id="13316" name="Chart 1">
          <a:extLst>
            <a:ext uri="{FF2B5EF4-FFF2-40B4-BE49-F238E27FC236}">
              <a16:creationId xmlns:a16="http://schemas.microsoft.com/office/drawing/2014/main" id="{00000000-0008-0000-01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171450</xdr:colOff>
      <xdr:row>51</xdr:row>
      <xdr:rowOff>0</xdr:rowOff>
    </xdr:from>
    <xdr:to>
      <xdr:col>59</xdr:col>
      <xdr:colOff>47625</xdr:colOff>
      <xdr:row>51</xdr:row>
      <xdr:rowOff>0</xdr:rowOff>
    </xdr:to>
    <xdr:graphicFrame macro="">
      <xdr:nvGraphicFramePr>
        <xdr:cNvPr id="3" name="Chart 2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294217</xdr:colOff>
      <xdr:row>178</xdr:row>
      <xdr:rowOff>66675</xdr:rowOff>
    </xdr:from>
    <xdr:to>
      <xdr:col>22</xdr:col>
      <xdr:colOff>164042</xdr:colOff>
      <xdr:row>199</xdr:row>
      <xdr:rowOff>11206</xdr:rowOff>
    </xdr:to>
    <xdr:graphicFrame macro="">
      <xdr:nvGraphicFramePr>
        <xdr:cNvPr id="5" name="Chart 55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ES761"/>
  <sheetViews>
    <sheetView showGridLines="0" tabSelected="1" topLeftCell="D1" zoomScaleNormal="100" workbookViewId="0">
      <selection activeCell="BZ19" sqref="BZ19"/>
    </sheetView>
  </sheetViews>
  <sheetFormatPr defaultColWidth="9.109375" defaultRowHeight="13.2" x14ac:dyDescent="0.25"/>
  <cols>
    <col min="1" max="1" width="3.33203125" style="8" customWidth="1"/>
    <col min="2" max="2" width="5.88671875" style="8" customWidth="1"/>
    <col min="3" max="3" width="5.6640625" style="8" customWidth="1"/>
    <col min="4" max="4" width="6.6640625" style="8" customWidth="1"/>
    <col min="5" max="6" width="5.6640625" style="8" customWidth="1"/>
    <col min="7" max="7" width="7.109375" style="8" customWidth="1"/>
    <col min="8" max="8" width="6" style="8" customWidth="1"/>
    <col min="9" max="10" width="5.88671875" style="8" customWidth="1"/>
    <col min="11" max="27" width="6" style="8" customWidth="1"/>
    <col min="28" max="53" width="6" style="9" customWidth="1"/>
    <col min="54" max="54" width="6" style="10" customWidth="1"/>
    <col min="55" max="75" width="6" style="12" customWidth="1"/>
    <col min="76" max="132" width="9.109375" style="12"/>
    <col min="133" max="16384" width="9.109375" style="8"/>
  </cols>
  <sheetData>
    <row r="1" spans="1:149" ht="15.75" customHeight="1" thickBot="1" x14ac:dyDescent="0.3">
      <c r="A1" s="13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49" ht="12.75" customHeight="1" thickBot="1" x14ac:dyDescent="0.3">
      <c r="A2" s="313" t="s">
        <v>222</v>
      </c>
      <c r="B2" s="314"/>
      <c r="C2" s="315"/>
      <c r="D2" s="231"/>
      <c r="E2" s="232"/>
      <c r="F2" s="232"/>
      <c r="G2" s="232"/>
      <c r="H2" s="232"/>
      <c r="I2" s="232"/>
      <c r="J2" s="233"/>
      <c r="K2" s="15" t="str">
        <f>IF($K$9=1,"LSL:",IF($K$9=2,"MIN:",""))</f>
        <v>LSL:</v>
      </c>
      <c r="L2" s="238">
        <f>IF(P5="","",IF(OR($K$9=1,$K$9=2),IF(L3&gt;Q3,"- &gt; +",N2-L3),""))</f>
        <v>17.2</v>
      </c>
      <c r="M2" s="16" t="s">
        <v>123</v>
      </c>
      <c r="N2" s="369">
        <v>17.3</v>
      </c>
      <c r="O2" s="370"/>
      <c r="P2" s="17" t="str">
        <f>IF($K$9=1,"USL:",IF($K$9=2,"","MAX:"))</f>
        <v>USL:</v>
      </c>
      <c r="Q2" s="239">
        <f>IF(P5="","",IF(OR($K$9=1,$K$9=3),IF(L3&gt;Q3,"- &gt; +",N2+Q3),""))</f>
        <v>17.400000000000002</v>
      </c>
      <c r="R2" s="321" t="s">
        <v>30</v>
      </c>
      <c r="S2" s="322"/>
      <c r="T2" s="322"/>
      <c r="U2" s="322"/>
      <c r="V2" s="322"/>
      <c r="W2" s="322"/>
      <c r="X2" s="288" t="str">
        <f>IF(Formule!$K$1=1,"X BAR Chart",IF(Formule!$K$1=2,"INDIVIDUALS Chart",IF(Formule!$K$1=3,"MEDIANS","")))</f>
        <v>X BAR Chart</v>
      </c>
      <c r="Y2" s="288"/>
      <c r="Z2" s="288" t="str">
        <f>IF(Formule!$K$1=1,"R Chart",IF(Formule!$K$1=2,"MR Chart",IF(Formule!$K$1=3,"R Chart","")))</f>
        <v>R Chart</v>
      </c>
      <c r="AA2" s="290"/>
      <c r="AB2" s="249" t="s">
        <v>92</v>
      </c>
      <c r="AC2" s="250"/>
      <c r="AD2" s="250"/>
      <c r="AE2" s="250"/>
      <c r="AF2" s="250"/>
      <c r="AG2" s="251"/>
      <c r="AH2" s="263">
        <f>IF(COUNT(C32:AA36,AC32:BA36)&lt;&gt;0,COUNT(C32:AA36,AC32:BA36),"")</f>
        <v>250</v>
      </c>
      <c r="AI2" s="260"/>
      <c r="AJ2" s="250" t="s">
        <v>101</v>
      </c>
      <c r="AK2" s="250"/>
      <c r="AL2" s="250"/>
      <c r="AM2" s="250"/>
      <c r="AN2" s="250"/>
      <c r="AO2" s="251"/>
      <c r="AP2" s="252">
        <f>IF(AH2="","",SUM(C32:AA36,AC32:BA36))</f>
        <v>4307.1466534375486</v>
      </c>
      <c r="AQ2" s="260"/>
      <c r="AR2" s="72" t="s">
        <v>114</v>
      </c>
      <c r="AS2" s="73"/>
      <c r="AT2" s="73"/>
      <c r="AU2" s="73"/>
      <c r="AV2" s="73"/>
      <c r="AW2" s="74"/>
      <c r="AX2" s="226">
        <f>IF(P5="","",STDEVP(C32:BA36))</f>
        <v>1.3275256697038346E-2</v>
      </c>
      <c r="AY2" s="227"/>
      <c r="AZ2" s="126"/>
    </row>
    <row r="3" spans="1:149" ht="12.75" customHeight="1" thickBot="1" x14ac:dyDescent="0.3">
      <c r="A3" s="313" t="s">
        <v>220</v>
      </c>
      <c r="B3" s="314"/>
      <c r="C3" s="314"/>
      <c r="D3" s="231"/>
      <c r="E3" s="232"/>
      <c r="F3" s="232"/>
      <c r="G3" s="232"/>
      <c r="H3" s="232"/>
      <c r="I3" s="232"/>
      <c r="J3" s="259"/>
      <c r="K3" s="247" t="s">
        <v>124</v>
      </c>
      <c r="L3" s="223">
        <v>0.1</v>
      </c>
      <c r="M3" s="375" t="str">
        <f>IF($K$9=1,"NOMINAL:","")</f>
        <v>NOMINAL:</v>
      </c>
      <c r="N3" s="376"/>
      <c r="O3" s="203">
        <f>IF(P5="","",IF($K$9=1,IF(L2="- &gt; +","ERROR",((Q2+L2)/2)),""))</f>
        <v>17.3</v>
      </c>
      <c r="P3" s="22" t="s">
        <v>122</v>
      </c>
      <c r="Q3" s="240">
        <v>0.1</v>
      </c>
      <c r="R3" s="291" t="s">
        <v>36</v>
      </c>
      <c r="S3" s="292"/>
      <c r="T3" s="292"/>
      <c r="U3" s="295" t="s">
        <v>37</v>
      </c>
      <c r="V3" s="296"/>
      <c r="W3" s="297"/>
      <c r="X3" s="289">
        <f>IF(P5="","",Formule!U50)</f>
        <v>2</v>
      </c>
      <c r="Y3" s="289"/>
      <c r="Z3" s="299">
        <f>IF(P5="","",Formule!U57)</f>
        <v>3</v>
      </c>
      <c r="AA3" s="300" t="e">
        <f>IF(#REF!="","",Formule!AC33)</f>
        <v>#REF!</v>
      </c>
      <c r="AB3" s="69" t="s">
        <v>94</v>
      </c>
      <c r="AC3" s="70"/>
      <c r="AD3" s="70"/>
      <c r="AE3" s="70"/>
      <c r="AF3" s="70"/>
      <c r="AG3" s="71"/>
      <c r="AH3" s="224">
        <f>IF(P5="","",IF(K9=3,"N/A",L2))</f>
        <v>17.2</v>
      </c>
      <c r="AI3" s="228"/>
      <c r="AJ3" s="73" t="s">
        <v>107</v>
      </c>
      <c r="AK3" s="73"/>
      <c r="AL3" s="73"/>
      <c r="AM3" s="73"/>
      <c r="AN3" s="73"/>
      <c r="AO3" s="74"/>
      <c r="AP3" s="230">
        <f>IF(AH2="","",MAX(C32:AA36,AC32:BA36))</f>
        <v>17.250646766482777</v>
      </c>
      <c r="AQ3" s="229"/>
      <c r="AR3" s="72" t="s">
        <v>115</v>
      </c>
      <c r="AS3" s="73"/>
      <c r="AT3" s="73"/>
      <c r="AU3" s="73"/>
      <c r="AV3" s="73"/>
      <c r="AW3" s="74"/>
      <c r="AX3" s="226">
        <f>IF(P5="","",VAR(C32:BA36))</f>
        <v>1.7692626887766408E-4</v>
      </c>
      <c r="AY3" s="227"/>
      <c r="AZ3" s="127"/>
    </row>
    <row r="4" spans="1:149" s="9" customFormat="1" ht="12.75" customHeight="1" thickBot="1" x14ac:dyDescent="0.3">
      <c r="A4" s="313" t="s">
        <v>221</v>
      </c>
      <c r="B4" s="314"/>
      <c r="C4" s="315"/>
      <c r="D4" s="245"/>
      <c r="E4" s="246"/>
      <c r="F4" s="246"/>
      <c r="G4" s="246"/>
      <c r="H4" s="246"/>
      <c r="I4" s="246"/>
      <c r="J4" s="248"/>
      <c r="K4" s="301"/>
      <c r="L4" s="302"/>
      <c r="M4" s="302"/>
      <c r="N4" s="302"/>
      <c r="O4" s="302"/>
      <c r="P4" s="377" t="s">
        <v>125</v>
      </c>
      <c r="Q4" s="378"/>
      <c r="R4" s="293"/>
      <c r="S4" s="294"/>
      <c r="T4" s="294"/>
      <c r="U4" s="272" t="s">
        <v>44</v>
      </c>
      <c r="V4" s="273"/>
      <c r="W4" s="274"/>
      <c r="X4" s="298">
        <f ca="1">IF(P5="","",Formule!U52)</f>
        <v>25</v>
      </c>
      <c r="Y4" s="298">
        <f>IF(AP5="","",Formule!AA34)</f>
        <v>0</v>
      </c>
      <c r="Z4" s="298">
        <f ca="1">IF(P5="","",Formule!U59)</f>
        <v>25</v>
      </c>
      <c r="AA4" s="275" t="e">
        <f>IF(#REF!="","",Formule!AC34)</f>
        <v>#REF!</v>
      </c>
      <c r="AB4" s="72" t="s">
        <v>95</v>
      </c>
      <c r="AC4" s="73"/>
      <c r="AD4" s="73"/>
      <c r="AE4" s="73"/>
      <c r="AF4" s="73"/>
      <c r="AG4" s="74"/>
      <c r="AH4" s="226">
        <f>IF(P5="","",IF(K9&lt;&gt;1,"N/A",O3))</f>
        <v>17.3</v>
      </c>
      <c r="AI4" s="229"/>
      <c r="AJ4" s="73" t="s">
        <v>108</v>
      </c>
      <c r="AK4" s="73"/>
      <c r="AL4" s="73"/>
      <c r="AM4" s="73"/>
      <c r="AN4" s="73"/>
      <c r="AO4" s="74"/>
      <c r="AP4" s="230">
        <f>IF(AH2="","",MIN(C32:AA36,AC32:BA36))</f>
        <v>17.207724875927173</v>
      </c>
      <c r="AQ4" s="229"/>
      <c r="AR4" s="72" t="s">
        <v>116</v>
      </c>
      <c r="AS4" s="73"/>
      <c r="AT4" s="73"/>
      <c r="AU4" s="73"/>
      <c r="AV4" s="73"/>
      <c r="AW4" s="74"/>
      <c r="AX4" s="226">
        <f>IF(P5="","",VARP(C32:BA36))</f>
        <v>1.7623244037226149E-4</v>
      </c>
      <c r="AY4" s="227"/>
      <c r="AZ4" s="127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</row>
    <row r="5" spans="1:149" ht="15.75" customHeight="1" thickBot="1" x14ac:dyDescent="0.3">
      <c r="A5" s="310"/>
      <c r="B5" s="311"/>
      <c r="C5" s="312"/>
      <c r="D5" s="231"/>
      <c r="E5" s="232"/>
      <c r="F5" s="232"/>
      <c r="G5" s="232"/>
      <c r="H5" s="232"/>
      <c r="I5" s="232"/>
      <c r="J5" s="233"/>
      <c r="K5" s="303"/>
      <c r="L5" s="304"/>
      <c r="M5" s="304"/>
      <c r="N5" s="304"/>
      <c r="O5" s="304"/>
      <c r="P5" s="379">
        <f>IF(COUNT(C32:C36)&lt;&gt;0,COUNT(C32:C36),"")</f>
        <v>5</v>
      </c>
      <c r="Q5" s="380"/>
      <c r="R5" s="323" t="s">
        <v>47</v>
      </c>
      <c r="S5" s="324"/>
      <c r="T5" s="325"/>
      <c r="U5" s="272" t="s">
        <v>37</v>
      </c>
      <c r="V5" s="273"/>
      <c r="W5" s="274"/>
      <c r="X5" s="360">
        <f>IF(P5="","",Formule!U51)</f>
        <v>3</v>
      </c>
      <c r="Y5" s="361"/>
      <c r="Z5" s="275">
        <f>IF(P5="","",Formule!U58)</f>
        <v>3</v>
      </c>
      <c r="AA5" s="276" t="e">
        <f>IF(#REF!="","",Formule!AC35)</f>
        <v>#REF!</v>
      </c>
      <c r="AB5" s="72" t="s">
        <v>98</v>
      </c>
      <c r="AC5" s="73"/>
      <c r="AD5" s="73"/>
      <c r="AE5" s="73"/>
      <c r="AF5" s="73"/>
      <c r="AG5" s="74"/>
      <c r="AH5" s="226">
        <f>IF(P5="","",IF(K9=2,"N/A",Q2))</f>
        <v>17.400000000000002</v>
      </c>
      <c r="AI5" s="229"/>
      <c r="AJ5" s="73" t="s">
        <v>132</v>
      </c>
      <c r="AK5" s="73"/>
      <c r="AL5" s="78"/>
      <c r="AM5" s="79"/>
      <c r="AN5" s="73"/>
      <c r="AO5" s="74"/>
      <c r="AP5" s="279">
        <f>IF(P5="","",IF(Formule!$K$1=1,Formule!$Z$15,IF(Formule!$K$1=2,Formule!$AD$15,IF(Formule!$K$1=3,Formule!$AH$15,""))))</f>
        <v>2.3260000000000001</v>
      </c>
      <c r="AQ5" s="280"/>
      <c r="AR5" s="241" t="s">
        <v>133</v>
      </c>
      <c r="AS5" s="241"/>
      <c r="AT5" s="241"/>
      <c r="AU5" s="241"/>
      <c r="AV5" s="241"/>
      <c r="AW5" s="242"/>
      <c r="AX5" s="243">
        <f ca="1">IF(P5="","",IF(AND(Formule!BC1=1,Formule!R15&gt;=1),"",IF(K9&lt;&gt;1,"N/A",(6*AP9)/(AH5-AH3))))</f>
        <v>0.39904090265271447</v>
      </c>
      <c r="AY5" s="244"/>
      <c r="AZ5" s="127"/>
    </row>
    <row r="6" spans="1:149" ht="14.25" customHeight="1" thickBot="1" x14ac:dyDescent="0.3">
      <c r="A6" s="307"/>
      <c r="B6" s="308"/>
      <c r="C6" s="309"/>
      <c r="D6" s="234"/>
      <c r="E6" s="235"/>
      <c r="F6" s="235"/>
      <c r="G6" s="235"/>
      <c r="H6" s="235"/>
      <c r="I6" s="235"/>
      <c r="J6" s="236"/>
      <c r="K6" s="305"/>
      <c r="L6" s="306"/>
      <c r="M6" s="306"/>
      <c r="N6" s="306"/>
      <c r="O6" s="306"/>
      <c r="P6" s="381"/>
      <c r="Q6" s="382"/>
      <c r="R6" s="326"/>
      <c r="S6" s="327"/>
      <c r="T6" s="328"/>
      <c r="U6" s="272" t="s">
        <v>44</v>
      </c>
      <c r="V6" s="273"/>
      <c r="W6" s="274"/>
      <c r="X6" s="275">
        <f ca="1">IF(P5="","",Formule!U53)</f>
        <v>0</v>
      </c>
      <c r="Y6" s="368">
        <f>IF(AP7="","",Formule!AA36)</f>
        <v>0</v>
      </c>
      <c r="Z6" s="275">
        <f ca="1">IF(P5="","",Formule!U60)</f>
        <v>0</v>
      </c>
      <c r="AA6" s="276" t="str">
        <f>IF(AA54="","",Formule!AC36)</f>
        <v/>
      </c>
      <c r="AB6" s="69" t="s">
        <v>109</v>
      </c>
      <c r="AC6" s="70"/>
      <c r="AD6" s="70"/>
      <c r="AE6" s="70"/>
      <c r="AF6" s="70"/>
      <c r="AG6" s="71"/>
      <c r="AH6" s="283">
        <f ca="1">IF(AH2="","",COUNTIF(C32:BA36,"&lt;"&amp;INDIRECT(Formule!S35)))</f>
        <v>0</v>
      </c>
      <c r="AI6" s="284"/>
      <c r="AJ6" s="70" t="s">
        <v>135</v>
      </c>
      <c r="AK6" s="70"/>
      <c r="AL6" s="70"/>
      <c r="AM6" s="70"/>
      <c r="AN6" s="70"/>
      <c r="AO6" s="71"/>
      <c r="AP6" s="224">
        <f>IF(P5="","",IF(K9=2,"N/A",IF(Formule!BC1=1,"N/A",(AH5-AH8)/(3*AH9/AP5))))</f>
        <v>4.1367897044064765</v>
      </c>
      <c r="AQ6" s="225"/>
      <c r="AZ6" s="127"/>
    </row>
    <row r="7" spans="1:149" ht="16.5" customHeight="1" thickBot="1" x14ac:dyDescent="0.3">
      <c r="A7" s="256" t="s">
        <v>218</v>
      </c>
      <c r="B7" s="257"/>
      <c r="C7" s="257"/>
      <c r="D7" s="257"/>
      <c r="E7" s="258"/>
      <c r="F7" s="358">
        <f ca="1">IF(P5="","",IF(AND(Formule!BC1=1,Formule!R15&gt;=1),"",IF(K9&lt;&gt;1,"N/A",(AH5-AH3)/(6*AP9))))</f>
        <v>2.5060087658991201</v>
      </c>
      <c r="G7" s="359"/>
      <c r="H7" s="253" t="s">
        <v>217</v>
      </c>
      <c r="I7" s="254"/>
      <c r="J7" s="254"/>
      <c r="K7" s="254"/>
      <c r="L7" s="254"/>
      <c r="M7" s="255"/>
      <c r="N7" s="348">
        <f>IF(P5="","",IF(K9&lt;&gt;1,"N/A",IF(Formule!BC1=1,"N/A",(AH5-AH3)/(6*AH9/AP5))))</f>
        <v>2.4133411018308313</v>
      </c>
      <c r="O7" s="349"/>
      <c r="P7" s="371" t="str">
        <f>CHOOSE(Formule!K1,Formule!K2,Formule!K3,Formule!K4,Formule!K5,Formule!K6)</f>
        <v>Xbar &amp; R</v>
      </c>
      <c r="Q7" s="372"/>
      <c r="R7" s="363" t="s">
        <v>0</v>
      </c>
      <c r="S7" s="364"/>
      <c r="T7" s="364"/>
      <c r="U7" s="364"/>
      <c r="V7" s="364"/>
      <c r="W7" s="364"/>
      <c r="X7" s="287">
        <f ca="1">IF(P5="","",Formule!T64+Formule!T65)</f>
        <v>0</v>
      </c>
      <c r="Y7" s="287">
        <f ca="1">IF(AH6="","",Formule!AA50+Formule!AA51)</f>
        <v>0</v>
      </c>
      <c r="Z7" s="287">
        <f ca="1">IF(P5="","",Formule!T66+Formule!T67)</f>
        <v>51</v>
      </c>
      <c r="AA7" s="285" t="e">
        <f>IF(#REF!="","",Formule!AC50+Formule!AC51)</f>
        <v>#REF!</v>
      </c>
      <c r="AB7" s="72" t="s">
        <v>110</v>
      </c>
      <c r="AC7" s="73"/>
      <c r="AD7" s="73"/>
      <c r="AE7" s="73"/>
      <c r="AF7" s="73"/>
      <c r="AG7" s="74"/>
      <c r="AH7" s="281">
        <f ca="1">IF(AH2="","",COUNTIF(C32:BA36,"&gt;"&amp;INDIRECT(Formule!S36)))</f>
        <v>0</v>
      </c>
      <c r="AI7" s="282"/>
      <c r="AJ7" s="73" t="s">
        <v>136</v>
      </c>
      <c r="AK7" s="73"/>
      <c r="AL7" s="73"/>
      <c r="AM7" s="73"/>
      <c r="AN7" s="73"/>
      <c r="AO7" s="74"/>
      <c r="AP7" s="226">
        <f>IF(P5="","",IF(K9=3,"N/A",IF(Formule!BC1=1,"N/A",(AH8-AH3)/(3*AH9/AP5))))</f>
        <v>0.68989249925518525</v>
      </c>
      <c r="AQ7" s="227"/>
      <c r="AZ7" s="127"/>
    </row>
    <row r="8" spans="1:149" ht="16.5" customHeight="1" thickBot="1" x14ac:dyDescent="0.3">
      <c r="A8" s="253" t="s">
        <v>219</v>
      </c>
      <c r="B8" s="254"/>
      <c r="C8" s="254"/>
      <c r="D8" s="254"/>
      <c r="E8" s="255"/>
      <c r="F8" s="358">
        <f ca="1">IF(P5="","",IF(AND(Formule!BC1=1,Formule!R15&gt;=1),"",MIN(Formule!AK7,Formule!AK8)))</f>
        <v>0.71638304645371942</v>
      </c>
      <c r="G8" s="359"/>
      <c r="H8" s="253" t="s">
        <v>216</v>
      </c>
      <c r="I8" s="254"/>
      <c r="J8" s="254"/>
      <c r="K8" s="254"/>
      <c r="L8" s="254"/>
      <c r="M8" s="255"/>
      <c r="N8" s="348">
        <f>IF(P5="","",IF(Formule!BC1=1,"N/A",MIN(AP6,AP7)))</f>
        <v>0.68989249925518525</v>
      </c>
      <c r="O8" s="349"/>
      <c r="P8" s="373"/>
      <c r="Q8" s="374"/>
      <c r="R8" s="365" t="s">
        <v>49</v>
      </c>
      <c r="S8" s="366"/>
      <c r="T8" s="366"/>
      <c r="U8" s="366"/>
      <c r="V8" s="366"/>
      <c r="W8" s="367"/>
      <c r="X8" s="285">
        <f>IF(P5="","",Formule!T80)</f>
        <v>1</v>
      </c>
      <c r="Y8" s="362">
        <f>Formule!Z67</f>
        <v>0</v>
      </c>
      <c r="Z8" s="285">
        <f>IF(P5="","",Formule!T82)</f>
        <v>2</v>
      </c>
      <c r="AA8" s="286"/>
      <c r="AB8" s="72" t="s">
        <v>212</v>
      </c>
      <c r="AC8" s="73"/>
      <c r="AD8" s="73"/>
      <c r="AE8" s="73"/>
      <c r="AF8" s="73"/>
      <c r="AG8" s="74"/>
      <c r="AH8" s="226">
        <f>IF(AH2="","",AVERAGE(C37:AA37,AC37:BA37))</f>
        <v>17.228586613750199</v>
      </c>
      <c r="AI8" s="229"/>
      <c r="AJ8" s="261" t="s">
        <v>134</v>
      </c>
      <c r="AK8" s="80"/>
      <c r="AL8" s="80"/>
      <c r="AM8" s="80"/>
      <c r="AN8" s="80"/>
      <c r="AO8" s="81"/>
      <c r="AP8" s="270">
        <f>IF(P5="","",IF(K9&lt;&gt;1,"N/A",IF(Formule!BC1=1,"N/A",(6*AH9/AP5)/(AH5-AH3))))</f>
        <v>0.41436330705235608</v>
      </c>
      <c r="AQ8" s="271"/>
      <c r="AZ8" s="127"/>
    </row>
    <row r="9" spans="1:149" ht="17.25" customHeight="1" thickBot="1" x14ac:dyDescent="0.35">
      <c r="A9" s="39"/>
      <c r="B9" s="40"/>
      <c r="C9" s="40"/>
      <c r="D9" s="41"/>
      <c r="E9" s="42"/>
      <c r="F9" s="43"/>
      <c r="G9" s="40"/>
      <c r="H9" s="40"/>
      <c r="I9" s="40"/>
      <c r="J9" s="40"/>
      <c r="K9" s="222">
        <v>1</v>
      </c>
      <c r="L9" s="39"/>
      <c r="M9" s="41"/>
      <c r="N9" s="44"/>
      <c r="O9" s="44"/>
      <c r="P9" s="44"/>
      <c r="Q9" s="44"/>
      <c r="R9" s="336" t="s">
        <v>50</v>
      </c>
      <c r="S9" s="337"/>
      <c r="T9" s="337"/>
      <c r="U9" s="337"/>
      <c r="V9" s="337"/>
      <c r="W9" s="338"/>
      <c r="X9" s="277">
        <f>IF(P5="","",Formule!T81)</f>
        <v>2</v>
      </c>
      <c r="Y9" s="344">
        <f>Formule!Z68</f>
        <v>0</v>
      </c>
      <c r="Z9" s="277">
        <f>IF(P5="","",Formule!T83)</f>
        <v>2</v>
      </c>
      <c r="AA9" s="278"/>
      <c r="AB9" s="264" t="s">
        <v>111</v>
      </c>
      <c r="AC9" s="265"/>
      <c r="AD9" s="265"/>
      <c r="AE9" s="265"/>
      <c r="AF9" s="265"/>
      <c r="AG9" s="266"/>
      <c r="AH9" s="267">
        <f>IF(AH2="","",AVERAGE(C38:BA38))</f>
        <v>3.2126968406793133E-2</v>
      </c>
      <c r="AI9" s="268"/>
      <c r="AJ9" s="70" t="s">
        <v>113</v>
      </c>
      <c r="AK9" s="70"/>
      <c r="AL9" s="70"/>
      <c r="AM9" s="70"/>
      <c r="AN9" s="70"/>
      <c r="AO9" s="71"/>
      <c r="AP9" s="224">
        <f>IF(P5="","",STDEV(C32:BA36))</f>
        <v>1.3301363421757337E-2</v>
      </c>
      <c r="AQ9" s="225"/>
      <c r="AZ9" s="127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</row>
    <row r="10" spans="1:149" ht="12.75" customHeight="1" x14ac:dyDescent="0.25">
      <c r="A10" s="46"/>
      <c r="B10" s="46"/>
      <c r="C10" s="47"/>
      <c r="D10" s="47"/>
      <c r="E10" s="46"/>
      <c r="F10" s="46"/>
      <c r="G10" s="47"/>
      <c r="H10" s="47"/>
      <c r="I10" s="46"/>
      <c r="J10" s="47"/>
      <c r="K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X10" s="49"/>
      <c r="Y10" s="49"/>
      <c r="Z10" s="49"/>
      <c r="AA10" s="49"/>
      <c r="AB10" s="115"/>
      <c r="AC10" s="115"/>
      <c r="AD10" s="105"/>
      <c r="AE10" s="105"/>
      <c r="AF10" s="115"/>
      <c r="AG10" s="115"/>
      <c r="AH10" s="105"/>
      <c r="AI10" s="105"/>
      <c r="AJ10" s="115"/>
      <c r="AK10" s="105"/>
      <c r="AL10" s="105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7"/>
      <c r="AZ10" s="107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</row>
    <row r="11" spans="1:149" ht="10.5" customHeight="1" x14ac:dyDescent="0.25">
      <c r="B11" s="51"/>
      <c r="C11" s="345" t="str">
        <f>IF(Formule!$K$1=1,"AVE. Xbar =",IF(Formule!$K$1=2,"Xbar =",IF(Formule!$K$1=3,"AVE. Xbar =","")))</f>
        <v>AVE. Xbar =</v>
      </c>
      <c r="D11" s="312"/>
      <c r="E11" s="334">
        <f>IF(P5="","",Formule!U33)</f>
        <v>17.228586613750199</v>
      </c>
      <c r="F11" s="335"/>
      <c r="G11" s="339"/>
      <c r="H11" s="340"/>
      <c r="J11" s="331" t="s">
        <v>141</v>
      </c>
      <c r="K11" s="332"/>
      <c r="L11" s="329">
        <f>Formule!$X$33</f>
        <v>17.247152839795543</v>
      </c>
      <c r="M11" s="330"/>
      <c r="N11" s="339"/>
      <c r="O11" s="340"/>
      <c r="Q11" s="331" t="s">
        <v>140</v>
      </c>
      <c r="R11" s="332"/>
      <c r="S11" s="329">
        <f>Formule!$X34</f>
        <v>17.210020387704855</v>
      </c>
      <c r="T11" s="330"/>
      <c r="U11" s="339"/>
      <c r="V11" s="340"/>
      <c r="AA11" s="52" t="str">
        <f>IF(Formule!$K$1=1,"AVERAGE (X BAR CHART)",IF(Formule!$K$1=2,"INDIVIDUALS CHART",IF(Formule!$K$1=3,"MEDIANS","")))</f>
        <v>AVERAGE (X BAR CHART)</v>
      </c>
      <c r="AB11" s="106"/>
      <c r="AC11" s="108"/>
      <c r="AD11" s="128"/>
      <c r="AE11" s="128"/>
      <c r="AF11" s="129"/>
      <c r="AG11" s="129"/>
      <c r="AH11" s="130"/>
      <c r="AI11" s="130"/>
      <c r="AJ11" s="106"/>
      <c r="AK11" s="124"/>
      <c r="AL11" s="124"/>
      <c r="AM11" s="131"/>
      <c r="AN11" s="131"/>
      <c r="AO11" s="130"/>
      <c r="AP11" s="130"/>
      <c r="AQ11" s="106"/>
      <c r="AR11" s="124"/>
      <c r="AS11" s="124"/>
      <c r="AT11" s="131"/>
      <c r="AU11" s="131"/>
      <c r="AV11" s="130"/>
      <c r="AW11" s="130"/>
      <c r="AX11" s="106"/>
      <c r="AY11" s="106"/>
      <c r="AZ11" s="106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</row>
    <row r="12" spans="1:149" ht="0.75" hidden="1" customHeight="1" x14ac:dyDescent="0.25">
      <c r="B12" s="51"/>
      <c r="C12" s="51"/>
      <c r="D12" s="51"/>
      <c r="E12" s="51"/>
      <c r="F12" s="51"/>
      <c r="G12" s="51"/>
      <c r="H12" s="53"/>
      <c r="I12" s="54"/>
      <c r="AB12" s="106"/>
      <c r="AC12" s="108"/>
      <c r="AD12" s="108"/>
      <c r="AE12" s="108"/>
      <c r="AF12" s="108"/>
      <c r="AG12" s="108"/>
      <c r="AH12" s="108"/>
      <c r="AI12" s="109"/>
      <c r="AJ12" s="110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</row>
    <row r="13" spans="1:149" ht="0.75" hidden="1" customHeight="1" x14ac:dyDescent="0.25">
      <c r="B13" s="51"/>
      <c r="C13" s="51"/>
      <c r="D13" s="51"/>
      <c r="E13" s="51"/>
      <c r="F13" s="51"/>
      <c r="G13" s="51"/>
      <c r="H13" s="53"/>
      <c r="I13" s="54"/>
      <c r="AB13" s="106"/>
      <c r="AC13" s="108"/>
      <c r="AD13" s="108"/>
      <c r="AE13" s="108"/>
      <c r="AF13" s="108"/>
      <c r="AG13" s="108"/>
      <c r="AH13" s="108"/>
      <c r="AI13" s="109"/>
      <c r="AJ13" s="110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</row>
    <row r="14" spans="1:149" x14ac:dyDescent="0.25">
      <c r="B14" s="51"/>
      <c r="C14" s="51"/>
      <c r="D14" s="51"/>
      <c r="E14" s="51"/>
      <c r="F14" s="51"/>
      <c r="G14" s="51"/>
      <c r="H14" s="53"/>
      <c r="I14" s="54"/>
      <c r="AB14" s="106"/>
      <c r="AC14" s="108"/>
      <c r="AD14" s="108"/>
      <c r="AE14" s="108"/>
      <c r="AF14" s="108"/>
      <c r="AG14" s="108"/>
      <c r="AH14" s="108"/>
      <c r="AI14" s="109"/>
      <c r="AJ14" s="110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</row>
    <row r="15" spans="1:149" x14ac:dyDescent="0.25">
      <c r="B15" s="51"/>
      <c r="C15" s="51"/>
      <c r="D15" s="51"/>
      <c r="E15" s="51"/>
      <c r="F15" s="51"/>
      <c r="G15" s="51"/>
      <c r="H15" s="53"/>
      <c r="I15" s="54"/>
      <c r="AB15" s="106"/>
      <c r="AC15" s="108"/>
      <c r="AD15" s="108"/>
      <c r="AE15" s="108"/>
      <c r="AF15" s="108"/>
      <c r="AG15" s="108"/>
      <c r="AH15" s="108"/>
      <c r="AI15" s="109"/>
      <c r="AJ15" s="110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</row>
    <row r="16" spans="1:149" x14ac:dyDescent="0.25">
      <c r="B16" s="51"/>
      <c r="C16" s="51"/>
      <c r="D16" s="51"/>
      <c r="E16" s="51"/>
      <c r="F16" s="51"/>
      <c r="G16" s="51"/>
      <c r="H16" s="53"/>
      <c r="I16" s="54"/>
      <c r="AB16" s="106"/>
      <c r="AC16" s="108"/>
      <c r="AD16" s="108"/>
      <c r="AE16" s="108"/>
      <c r="AF16" s="108"/>
      <c r="AG16" s="108"/>
      <c r="AH16" s="108"/>
      <c r="AI16" s="109"/>
      <c r="AJ16" s="110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</row>
    <row r="17" spans="1:149" x14ac:dyDescent="0.25">
      <c r="B17" s="51"/>
      <c r="C17" s="51"/>
      <c r="D17" s="51"/>
      <c r="E17" s="51"/>
      <c r="F17" s="51"/>
      <c r="G17" s="51"/>
      <c r="H17" s="53"/>
      <c r="I17" s="54"/>
      <c r="AB17" s="106"/>
      <c r="AC17" s="108"/>
      <c r="AD17" s="108"/>
      <c r="AE17" s="108"/>
      <c r="AF17" s="108"/>
      <c r="AG17" s="108"/>
      <c r="AH17" s="108"/>
      <c r="AI17" s="109"/>
      <c r="AJ17" s="110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</row>
    <row r="18" spans="1:149" x14ac:dyDescent="0.25">
      <c r="B18" s="51"/>
      <c r="C18" s="51"/>
      <c r="D18" s="51"/>
      <c r="E18" s="51"/>
      <c r="F18" s="51"/>
      <c r="G18" s="51"/>
      <c r="H18" s="53"/>
      <c r="I18" s="54"/>
      <c r="AB18" s="106"/>
      <c r="AC18" s="108"/>
      <c r="AD18" s="108"/>
      <c r="AE18" s="108"/>
      <c r="AF18" s="108"/>
      <c r="AG18" s="108"/>
      <c r="AH18" s="108"/>
      <c r="AI18" s="109"/>
      <c r="AJ18" s="110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</row>
    <row r="19" spans="1:149" x14ac:dyDescent="0.25">
      <c r="B19" s="51"/>
      <c r="C19" s="51"/>
      <c r="D19" s="51"/>
      <c r="E19" s="51"/>
      <c r="F19" s="51"/>
      <c r="G19" s="51"/>
      <c r="H19" s="53"/>
      <c r="I19" s="54"/>
      <c r="AB19" s="106"/>
      <c r="AC19" s="108"/>
      <c r="AD19" s="108"/>
      <c r="AE19" s="108"/>
      <c r="AF19" s="108"/>
      <c r="AG19" s="108"/>
      <c r="AH19" s="108"/>
      <c r="AI19" s="109"/>
      <c r="AJ19" s="110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</row>
    <row r="20" spans="1:149" ht="58.5" customHeight="1" x14ac:dyDescent="0.25">
      <c r="B20" s="51"/>
      <c r="C20" s="51"/>
      <c r="D20" s="51"/>
      <c r="E20" s="51"/>
      <c r="F20" s="51"/>
      <c r="G20" s="51"/>
      <c r="H20" s="53"/>
      <c r="I20" s="54"/>
      <c r="AB20" s="106"/>
      <c r="AC20" s="108"/>
      <c r="AD20" s="108"/>
      <c r="AE20" s="108"/>
      <c r="AF20" s="108"/>
      <c r="AG20" s="108"/>
      <c r="AH20" s="108"/>
      <c r="AI20" s="109"/>
      <c r="AJ20" s="110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</row>
    <row r="21" spans="1:149" ht="12.75" customHeight="1" x14ac:dyDescent="0.25">
      <c r="B21" s="51"/>
      <c r="C21" s="345" t="str">
        <f>IF(Formule!$K$1=1,"AVE. R =",IF(Formule!$K$1=2,"AVE. MR =",IF(Formule!$K$1=3,"AVE. R =","")))</f>
        <v>AVE. R =</v>
      </c>
      <c r="D21" s="312"/>
      <c r="E21" s="334">
        <f>IF(P5="","",Formule!U35)</f>
        <v>3.2177168189505639E-2</v>
      </c>
      <c r="F21" s="335"/>
      <c r="G21" s="339"/>
      <c r="H21" s="340"/>
      <c r="J21" s="331" t="s">
        <v>141</v>
      </c>
      <c r="K21" s="332"/>
      <c r="L21" s="329">
        <f>Formule!$X$35</f>
        <v>6.8022533552614922E-2</v>
      </c>
      <c r="M21" s="330"/>
      <c r="N21" s="339"/>
      <c r="O21" s="340"/>
      <c r="Q21" s="331" t="s">
        <v>140</v>
      </c>
      <c r="R21" s="332"/>
      <c r="S21" s="329">
        <f>Formule!$X$36</f>
        <v>0</v>
      </c>
      <c r="T21" s="330"/>
      <c r="U21" s="339"/>
      <c r="V21" s="340"/>
      <c r="AA21" s="52" t="str">
        <f>IF(Formule!$K$1=1,"RANGES (R CHART)",IF(Formule!$K$1=2,"MOVING RANGES (MR CHART)",IF(Formule!$K$1=3,"RANGES (R CHART)","")))</f>
        <v>RANGES (R CHART)</v>
      </c>
      <c r="AB21" s="106"/>
      <c r="AC21" s="108"/>
      <c r="AD21" s="129"/>
      <c r="AE21" s="128"/>
      <c r="AF21" s="129"/>
      <c r="AG21" s="129"/>
      <c r="AH21" s="130"/>
      <c r="AI21" s="130"/>
      <c r="AJ21" s="106"/>
      <c r="AK21" s="124"/>
      <c r="AL21" s="124"/>
      <c r="AM21" s="131"/>
      <c r="AN21" s="131"/>
      <c r="AO21" s="130"/>
      <c r="AP21" s="130"/>
      <c r="AQ21" s="106"/>
      <c r="AR21" s="125"/>
      <c r="AS21" s="125"/>
      <c r="AT21" s="125"/>
      <c r="AU21" s="125"/>
      <c r="AV21" s="130"/>
      <c r="AW21" s="130"/>
      <c r="AX21" s="106"/>
      <c r="AY21" s="106"/>
      <c r="AZ21" s="106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</row>
    <row r="22" spans="1:149" ht="8.25" customHeight="1" x14ac:dyDescent="0.25">
      <c r="B22" s="51"/>
      <c r="C22" s="51"/>
      <c r="D22" s="51"/>
      <c r="E22" s="51"/>
      <c r="F22" s="51"/>
      <c r="G22" s="51"/>
      <c r="H22" s="53"/>
      <c r="I22" s="55"/>
      <c r="J22" s="55"/>
      <c r="K22" s="55"/>
      <c r="AB22" s="106"/>
      <c r="AC22" s="108"/>
      <c r="AD22" s="108"/>
      <c r="AE22" s="108"/>
      <c r="AF22" s="108"/>
      <c r="AG22" s="108"/>
      <c r="AH22" s="108"/>
      <c r="AI22" s="109"/>
      <c r="AJ22" s="111"/>
      <c r="AK22" s="111"/>
      <c r="AL22" s="111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</row>
    <row r="23" spans="1:149" hidden="1" x14ac:dyDescent="0.25">
      <c r="B23" s="51"/>
      <c r="C23" s="51"/>
      <c r="D23" s="51"/>
      <c r="E23" s="51"/>
      <c r="F23" s="51"/>
      <c r="G23" s="51"/>
      <c r="H23" s="53"/>
      <c r="I23" s="55"/>
      <c r="J23" s="55"/>
      <c r="K23" s="55"/>
      <c r="AB23" s="106"/>
      <c r="AC23" s="108"/>
      <c r="AD23" s="108"/>
      <c r="AE23" s="108"/>
      <c r="AF23" s="108"/>
      <c r="AG23" s="108"/>
      <c r="AH23" s="108"/>
      <c r="AI23" s="109"/>
      <c r="AJ23" s="111"/>
      <c r="AK23" s="111"/>
      <c r="AL23" s="111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</row>
    <row r="24" spans="1:149" x14ac:dyDescent="0.25">
      <c r="B24" s="51"/>
      <c r="C24" s="51"/>
      <c r="D24" s="51"/>
      <c r="H24" s="53"/>
      <c r="I24" s="55"/>
      <c r="J24" s="55"/>
      <c r="K24" s="55"/>
      <c r="AB24" s="106"/>
      <c r="AC24" s="108"/>
      <c r="AD24" s="108"/>
      <c r="AE24" s="108"/>
      <c r="AF24" s="106"/>
      <c r="AG24" s="106"/>
      <c r="AH24" s="106"/>
      <c r="AI24" s="109"/>
      <c r="AJ24" s="111"/>
      <c r="AK24" s="111"/>
      <c r="AL24" s="111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</row>
    <row r="25" spans="1:149" x14ac:dyDescent="0.25">
      <c r="B25" s="51"/>
      <c r="C25" s="51"/>
      <c r="D25" s="51"/>
      <c r="E25" s="51"/>
      <c r="F25" s="51"/>
      <c r="G25" s="51"/>
      <c r="H25" s="53"/>
      <c r="I25" s="55"/>
      <c r="J25" s="55"/>
      <c r="K25" s="55"/>
      <c r="AB25" s="106"/>
      <c r="AC25" s="108"/>
      <c r="AD25" s="108"/>
      <c r="AE25" s="108"/>
      <c r="AF25" s="108"/>
      <c r="AG25" s="108"/>
      <c r="AH25" s="108"/>
      <c r="AI25" s="109"/>
      <c r="AJ25" s="111"/>
      <c r="AK25" s="111"/>
      <c r="AL25" s="111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</row>
    <row r="26" spans="1:149" x14ac:dyDescent="0.25">
      <c r="B26" s="51"/>
      <c r="C26" s="51"/>
      <c r="D26" s="51"/>
      <c r="E26" s="51"/>
      <c r="F26" s="51"/>
      <c r="G26" s="51"/>
      <c r="H26" s="53"/>
      <c r="I26" s="54"/>
      <c r="AB26" s="106"/>
      <c r="AC26" s="108"/>
      <c r="AD26" s="108"/>
      <c r="AE26" s="108"/>
      <c r="AF26" s="108"/>
      <c r="AG26" s="108"/>
      <c r="AH26" s="108"/>
      <c r="AI26" s="109"/>
      <c r="AJ26" s="110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</row>
    <row r="27" spans="1:149" x14ac:dyDescent="0.25">
      <c r="B27" s="51"/>
      <c r="C27" s="51"/>
      <c r="D27" s="51"/>
      <c r="E27" s="51"/>
      <c r="F27" s="51"/>
      <c r="G27" s="51"/>
      <c r="H27" s="53"/>
      <c r="I27" s="54"/>
      <c r="AB27" s="106"/>
      <c r="AC27" s="108"/>
      <c r="AD27" s="108"/>
      <c r="AE27" s="108"/>
      <c r="AF27" s="108"/>
      <c r="AG27" s="108"/>
      <c r="AH27" s="108"/>
      <c r="AI27" s="109"/>
      <c r="AJ27" s="110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</row>
    <row r="28" spans="1:149" x14ac:dyDescent="0.25">
      <c r="B28" s="51"/>
      <c r="C28" s="51"/>
      <c r="D28" s="51"/>
      <c r="E28" s="51"/>
      <c r="F28" s="51"/>
      <c r="G28" s="51"/>
      <c r="H28" s="53"/>
      <c r="I28" s="54"/>
      <c r="AB28" s="106"/>
      <c r="AC28" s="108"/>
      <c r="AD28" s="108"/>
      <c r="AE28" s="108"/>
      <c r="AF28" s="108"/>
      <c r="AG28" s="108"/>
      <c r="AH28" s="108"/>
      <c r="AI28" s="109"/>
      <c r="AJ28" s="110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</row>
    <row r="29" spans="1:149" ht="49.5" customHeight="1" x14ac:dyDescent="0.25">
      <c r="B29" s="51"/>
      <c r="C29" s="51"/>
      <c r="D29" s="51"/>
      <c r="E29" s="51"/>
      <c r="F29" s="51"/>
      <c r="G29" s="51"/>
      <c r="H29" s="53"/>
      <c r="I29" s="54"/>
      <c r="AB29" s="106"/>
      <c r="AC29" s="108"/>
      <c r="AD29" s="108"/>
      <c r="AE29" s="108"/>
      <c r="AF29" s="108"/>
      <c r="AG29" s="108"/>
      <c r="AH29" s="108"/>
      <c r="AI29" s="109"/>
      <c r="AJ29" s="110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</row>
    <row r="30" spans="1:149" ht="13.8" thickBot="1" x14ac:dyDescent="0.3">
      <c r="B30" s="58"/>
      <c r="C30" s="59" t="str">
        <f>IF(Formule!BD1=5,"1",IF(C32="","","1"))</f>
        <v>1</v>
      </c>
      <c r="D30" s="59" t="str">
        <f>IF(Formule!BE1=5,"2",IF(D32="","","2"))</f>
        <v>2</v>
      </c>
      <c r="E30" s="59" t="str">
        <f>IF(Formule!BF1=5,"3",IF(E32="","","3"))</f>
        <v>3</v>
      </c>
      <c r="F30" s="59" t="str">
        <f>IF(Formule!BG1=5,"4",IF(F32="","","4"))</f>
        <v>4</v>
      </c>
      <c r="G30" s="59" t="str">
        <f>IF(Formule!BH1=5,"5",IF(G32="","","5"))</f>
        <v>5</v>
      </c>
      <c r="H30" s="59" t="str">
        <f>IF(Formule!BI1=5,"6",IF(H32="","","6"))</f>
        <v>6</v>
      </c>
      <c r="I30" s="59" t="str">
        <f>IF(Formule!BJ1=5,"7",IF(I32="","","7"))</f>
        <v>7</v>
      </c>
      <c r="J30" s="59" t="str">
        <f>IF(Formule!BK1=5,"8",IF(J32="","","8"))</f>
        <v>8</v>
      </c>
      <c r="K30" s="59" t="str">
        <f>IF(Formule!BL1=5,"9",IF(K32="","","9"))</f>
        <v>9</v>
      </c>
      <c r="L30" s="59" t="str">
        <f>IF(Formule!BM1=5,"10",IF(L32="","","10"))</f>
        <v>10</v>
      </c>
      <c r="M30" s="59" t="str">
        <f>IF(Formule!BN1=5,"11",IF(M32="","","11"))</f>
        <v>11</v>
      </c>
      <c r="N30" s="59" t="str">
        <f>IF(Formule!BO1=5,"12",IF(N32="","","12"))</f>
        <v>12</v>
      </c>
      <c r="O30" s="59" t="str">
        <f>IF(Formule!BP1=5,"13",IF(O32="","","13"))</f>
        <v>13</v>
      </c>
      <c r="P30" s="59" t="str">
        <f>IF(Formule!BQ1=5,"14",IF(P32="","","14"))</f>
        <v>14</v>
      </c>
      <c r="Q30" s="59" t="str">
        <f>IF(Formule!BR1=5,"15",IF(Q32="","","15"))</f>
        <v>15</v>
      </c>
      <c r="R30" s="59" t="str">
        <f>IF(Formule!BS1=5,"16",IF(R32="","","16"))</f>
        <v>16</v>
      </c>
      <c r="S30" s="59" t="str">
        <f>IF(Formule!BT1=5,"17",IF(S32="","","17"))</f>
        <v>17</v>
      </c>
      <c r="T30" s="59" t="str">
        <f>IF(Formule!BU1=5,"18",IF(T32="","","18"))</f>
        <v>18</v>
      </c>
      <c r="U30" s="59" t="str">
        <f>IF(Formule!BV1=5,"19",IF(U32="","","19"))</f>
        <v>19</v>
      </c>
      <c r="V30" s="59" t="str">
        <f>IF(Formule!BW1=5,"20",IF(V32="","","20"))</f>
        <v>20</v>
      </c>
      <c r="W30" s="59" t="str">
        <f>IF(Formule!BX1=5,"21",IF(W32="","","21"))</f>
        <v>21</v>
      </c>
      <c r="X30" s="59" t="str">
        <f>IF(Formule!BY1=5,"22",IF(X32="","","22"))</f>
        <v>22</v>
      </c>
      <c r="Y30" s="59" t="str">
        <f>IF(Formule!BZ1=5,"23",IF(Y32="","","24"))</f>
        <v>23</v>
      </c>
      <c r="Z30" s="59" t="str">
        <f>IF(Formule!CA1=5,"24",IF(Z32="","","25"))</f>
        <v>24</v>
      </c>
      <c r="AA30" s="59" t="str">
        <f>IF(Formule!CB1=5,"25",IF(AA32="","","25"))</f>
        <v>25</v>
      </c>
      <c r="AB30" s="59" t="str">
        <f>IF(Formule!CC1=5,"26",IF(AB32="","","26"))</f>
        <v>26</v>
      </c>
      <c r="AC30" s="59" t="str">
        <f>IF(Formule!CD1=5,"27",IF(AC32="","","27"))</f>
        <v>27</v>
      </c>
      <c r="AD30" s="59" t="str">
        <f>IF(Formule!CE1=5,"28",IF(AD32="","","28"))</f>
        <v>28</v>
      </c>
      <c r="AE30" s="59" t="str">
        <f>IF(Formule!CF1=5,"29",IF(AE32="","","29"))</f>
        <v>29</v>
      </c>
      <c r="AF30" s="59" t="str">
        <f>IF(Formule!CG1=5,"30",IF(AF32="","","30"))</f>
        <v>30</v>
      </c>
      <c r="AG30" s="59" t="str">
        <f>IF(Formule!CH1=5,"31",IF(AG32="","","31"))</f>
        <v>31</v>
      </c>
      <c r="AH30" s="59" t="str">
        <f>IF(Formule!CI1=5,"32",IF(AH32="","","32"))</f>
        <v>32</v>
      </c>
      <c r="AI30" s="59" t="str">
        <f>IF(Formule!CJ1=5,"33",IF(AI32="","","33"))</f>
        <v>33</v>
      </c>
      <c r="AJ30" s="59" t="str">
        <f>IF(Formule!CK1=5,"34",IF(AJ32="","","35"))</f>
        <v>34</v>
      </c>
      <c r="AK30" s="59" t="str">
        <f>IF(Formule!CL1=5,"35",IF(AK32="","","36"))</f>
        <v>35</v>
      </c>
      <c r="AL30" s="59" t="str">
        <f>IF(Formule!CM1=5,"36",IF(AL32="","","36"))</f>
        <v>36</v>
      </c>
      <c r="AM30" s="59" t="str">
        <f>IF(Formule!CN1=5,"37",IF(AM32="","","37"))</f>
        <v>37</v>
      </c>
      <c r="AN30" s="59" t="str">
        <f>IF(Formule!CO1=5,"38",IF(AN32="","","38"))</f>
        <v>38</v>
      </c>
      <c r="AO30" s="59" t="str">
        <f>IF(Formule!CP1=5,"39",IF(AO32="","","39"))</f>
        <v>39</v>
      </c>
      <c r="AP30" s="59" t="str">
        <f>IF(Formule!CQ1=5,"40",IF(AP32="","","40"))</f>
        <v>40</v>
      </c>
      <c r="AQ30" s="59" t="str">
        <f>IF(Formule!CR1=5,"41",IF(AQ32="","","41"))</f>
        <v>41</v>
      </c>
      <c r="AR30" s="59" t="str">
        <f>IF(Formule!CS1=5,"42",IF(AR32="","","42"))</f>
        <v>42</v>
      </c>
      <c r="AS30" s="59" t="str">
        <f>IF(Formule!CT1=5,"43",IF(AS32="","","43"))</f>
        <v>43</v>
      </c>
      <c r="AT30" s="59" t="str">
        <f>IF(Formule!CU1=5,"44",IF(AT32="","","45"))</f>
        <v>44</v>
      </c>
      <c r="AU30" s="59" t="str">
        <f>IF(Formule!CV1=5,"45",IF(AU32="","","45"))</f>
        <v>45</v>
      </c>
      <c r="AV30" s="59" t="str">
        <f>IF(Formule!CW1=5,"46",IF(AV32="","","47"))</f>
        <v>46</v>
      </c>
      <c r="AW30" s="59" t="str">
        <f>IF(Formule!CX1=5,"47",IF(AW32="","","47"))</f>
        <v>47</v>
      </c>
      <c r="AX30" s="59" t="str">
        <f>IF(Formule!CY1=5,"48",IF(AX32="","","48"))</f>
        <v>48</v>
      </c>
      <c r="AY30" s="59" t="str">
        <f>IF(Formule!CZ1=5,"49",IF(AY32="","","49"))</f>
        <v>49</v>
      </c>
      <c r="AZ30" s="59" t="str">
        <f>IF(Formule!DA1=5,"50",IF(AZ32="","","50"))</f>
        <v>50</v>
      </c>
      <c r="BA30" s="59" t="str">
        <f>IF(Formule!DB1=5,"51",IF(BA32="","","51"))</f>
        <v>51</v>
      </c>
      <c r="BB30" s="59" t="str">
        <f>IF(Formule!DC1=5,"1",IF(BB32="","","1"))</f>
        <v>1</v>
      </c>
      <c r="BC30" s="59" t="str">
        <f>IF(Formule!DD1=5,"1",IF(BC32="","","1"))</f>
        <v>1</v>
      </c>
      <c r="BD30" s="59" t="str">
        <f>IF(Formule!DE1=5,"1",IF(BD32="","","1"))</f>
        <v>1</v>
      </c>
      <c r="BE30" s="59" t="str">
        <f>IF(Formule!DF1=5,"1",IF(BE32="","","1"))</f>
        <v>1</v>
      </c>
      <c r="BF30" s="59" t="str">
        <f>IF(Formule!DG1=5,"1",IF(BF32="","","1"))</f>
        <v>1</v>
      </c>
      <c r="BG30" s="59" t="str">
        <f>IF(Formule!DH1=5,"1",IF(BG32="","","1"))</f>
        <v>1</v>
      </c>
      <c r="BH30" s="59" t="str">
        <f>IF(Formule!DI1=5,"1",IF(BH32="","","1"))</f>
        <v>1</v>
      </c>
      <c r="BI30" s="59" t="str">
        <f>IF(Formule!DJ1=5,"1",IF(BI32="","","1"))</f>
        <v>1</v>
      </c>
      <c r="BJ30" s="59" t="str">
        <f>IF(Formule!DK1=5,"1",IF(BJ32="","","1"))</f>
        <v>1</v>
      </c>
      <c r="BK30" s="59" t="str">
        <f>IF(Formule!DL1=5,"1",IF(BK32="","","1"))</f>
        <v>1</v>
      </c>
      <c r="BL30" s="59" t="str">
        <f>IF(Formule!DM1=5,"1",IF(BL32="","","1"))</f>
        <v>1</v>
      </c>
      <c r="BM30" s="59" t="str">
        <f>IF(Formule!DN1=5,"1",IF(BM32="","","1"))</f>
        <v>1</v>
      </c>
      <c r="BN30" s="59" t="str">
        <f>IF(Formule!DO1=5,"1",IF(BN32="","","1"))</f>
        <v>1</v>
      </c>
      <c r="BO30" s="59" t="str">
        <f>IF(Formule!DP1=5,"1",IF(BO32="","","1"))</f>
        <v>1</v>
      </c>
      <c r="BP30" s="59" t="str">
        <f>IF(Formule!DQ1=5,"1",IF(BP32="","","1"))</f>
        <v>1</v>
      </c>
      <c r="BQ30" s="59" t="str">
        <f>IF(Formule!DR1=5,"1",IF(BQ32="","","1"))</f>
        <v>1</v>
      </c>
      <c r="BR30" s="59" t="str">
        <f>IF(Formule!DS1=5,"1",IF(BR32="","","1"))</f>
        <v>1</v>
      </c>
      <c r="BS30" s="59" t="str">
        <f>IF(Formule!DT1=5,"1",IF(BS32="","","1"))</f>
        <v>1</v>
      </c>
      <c r="BT30" s="59" t="str">
        <f>IF(Formule!DU1=5,"1",IF(BT32="","","1"))</f>
        <v>1</v>
      </c>
      <c r="BU30" s="59" t="str">
        <f>IF(Formule!DV1=5,"1",IF(BU32="","","1"))</f>
        <v>1</v>
      </c>
      <c r="BV30" s="112" t="str">
        <f>IF(Formule!DW1=5,"1",IF(BV32="","","1"))</f>
        <v>1</v>
      </c>
      <c r="BW30" s="219" t="str">
        <f>IF(Formule!DX1=5,"1",IF(BW32="","","1"))</f>
        <v/>
      </c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</row>
    <row r="31" spans="1:149" ht="13.8" thickBot="1" x14ac:dyDescent="0.3">
      <c r="A31" s="350" t="s">
        <v>190</v>
      </c>
      <c r="B31" s="35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220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</row>
    <row r="32" spans="1:149" x14ac:dyDescent="0.25">
      <c r="A32" s="318" t="s">
        <v>1</v>
      </c>
      <c r="B32" s="61" t="str">
        <f>IF($P$5="","","1")</f>
        <v>1</v>
      </c>
      <c r="C32" s="269">
        <v>17.220028664169543</v>
      </c>
      <c r="D32" s="269">
        <v>17.240653196154813</v>
      </c>
      <c r="E32" s="269">
        <v>17.232388684200718</v>
      </c>
      <c r="F32" s="269">
        <v>17.228710381748794</v>
      </c>
      <c r="G32" s="269">
        <v>17.220028664169543</v>
      </c>
      <c r="H32" s="269">
        <v>17.240653196154813</v>
      </c>
      <c r="I32" s="269">
        <v>17.232388684200718</v>
      </c>
      <c r="J32" s="269">
        <v>17.228710381748794</v>
      </c>
      <c r="K32" s="269">
        <v>17.220028664169543</v>
      </c>
      <c r="L32" s="269">
        <v>17.240653196154813</v>
      </c>
      <c r="M32" s="269">
        <v>17.232388684200718</v>
      </c>
      <c r="N32" s="269">
        <v>17.228710381748794</v>
      </c>
      <c r="O32" s="269">
        <v>17.220028664169543</v>
      </c>
      <c r="P32" s="269">
        <v>17.240653196154813</v>
      </c>
      <c r="Q32" s="269">
        <v>17.232388684200718</v>
      </c>
      <c r="R32" s="269">
        <v>17.228710381748794</v>
      </c>
      <c r="S32" s="269">
        <v>17.220028664169543</v>
      </c>
      <c r="T32" s="269">
        <v>17.240653196154813</v>
      </c>
      <c r="U32" s="269">
        <v>17.232388684200718</v>
      </c>
      <c r="V32" s="269">
        <v>17.228710381748794</v>
      </c>
      <c r="W32" s="269">
        <v>17.220028664169543</v>
      </c>
      <c r="X32" s="269">
        <v>17.240653196154813</v>
      </c>
      <c r="Y32" s="269">
        <v>17.232388684200718</v>
      </c>
      <c r="Z32" s="269">
        <v>17.228710381748794</v>
      </c>
      <c r="AA32" s="269">
        <v>17.220028664169543</v>
      </c>
      <c r="AB32" s="269">
        <v>17.240653196154813</v>
      </c>
      <c r="AC32" s="269">
        <v>17.232388684200718</v>
      </c>
      <c r="AD32" s="269">
        <v>17.228710381748794</v>
      </c>
      <c r="AE32" s="269">
        <v>17.220028664169543</v>
      </c>
      <c r="AF32" s="269">
        <v>17.240653196154813</v>
      </c>
      <c r="AG32" s="269">
        <v>17.232388684200718</v>
      </c>
      <c r="AH32" s="269">
        <v>17.228710381748794</v>
      </c>
      <c r="AI32" s="269">
        <v>17.220028664169543</v>
      </c>
      <c r="AJ32" s="269">
        <v>17.240653196154813</v>
      </c>
      <c r="AK32" s="269">
        <v>17.232388684200718</v>
      </c>
      <c r="AL32" s="269">
        <v>17.228710381748794</v>
      </c>
      <c r="AM32" s="269">
        <v>17.220028664169543</v>
      </c>
      <c r="AN32" s="269">
        <v>17.240653196154813</v>
      </c>
      <c r="AO32" s="269">
        <v>17.232388684200718</v>
      </c>
      <c r="AP32" s="269">
        <v>17.228710381748794</v>
      </c>
      <c r="AQ32" s="269">
        <v>17.220028664169543</v>
      </c>
      <c r="AR32" s="269">
        <v>17.240653196154813</v>
      </c>
      <c r="AS32" s="269">
        <v>17.232388684200718</v>
      </c>
      <c r="AT32" s="269">
        <v>17.228710381748794</v>
      </c>
      <c r="AU32" s="269">
        <v>17.220028664169543</v>
      </c>
      <c r="AV32" s="269">
        <v>17.240653196154813</v>
      </c>
      <c r="AW32" s="269">
        <v>17.232388684200718</v>
      </c>
      <c r="AX32" s="269">
        <v>17.228710381748794</v>
      </c>
      <c r="AY32" s="269">
        <v>17.220028664169543</v>
      </c>
      <c r="AZ32" s="269">
        <v>17.240653196154813</v>
      </c>
      <c r="BA32" s="269">
        <v>17.232388684200718</v>
      </c>
      <c r="BB32" s="269">
        <v>17.228710381748794</v>
      </c>
      <c r="BC32" s="269">
        <v>17.220028664169543</v>
      </c>
      <c r="BD32" s="269">
        <v>17.240653196154813</v>
      </c>
      <c r="BE32" s="269">
        <v>17.232388684200718</v>
      </c>
      <c r="BF32" s="269">
        <v>17.228710381748794</v>
      </c>
      <c r="BG32" s="269">
        <v>17.220028664169543</v>
      </c>
      <c r="BH32" s="269">
        <v>17.240653196154813</v>
      </c>
      <c r="BI32" s="269">
        <v>17.232388684200718</v>
      </c>
      <c r="BJ32" s="269">
        <v>17.228710381748794</v>
      </c>
      <c r="BK32" s="269">
        <v>17.220028664169543</v>
      </c>
      <c r="BL32" s="269">
        <v>17.240653196154813</v>
      </c>
      <c r="BM32" s="269">
        <v>17.232388684200718</v>
      </c>
      <c r="BN32" s="269">
        <v>17.228710381748794</v>
      </c>
      <c r="BO32" s="269">
        <v>17.220028664169543</v>
      </c>
      <c r="BP32" s="269">
        <v>17.240653196154813</v>
      </c>
      <c r="BQ32" s="269">
        <v>17.232388684200718</v>
      </c>
      <c r="BR32" s="269">
        <v>17.228710381748794</v>
      </c>
      <c r="BS32" s="269">
        <v>17.220028664169543</v>
      </c>
      <c r="BT32" s="269">
        <v>17.240653196154813</v>
      </c>
      <c r="BU32" s="269">
        <v>17.232388684200718</v>
      </c>
      <c r="BV32" s="269">
        <v>17.228710381748794</v>
      </c>
      <c r="BW32" s="194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</row>
    <row r="33" spans="1:149" x14ac:dyDescent="0.25">
      <c r="A33" s="319"/>
      <c r="B33" s="62">
        <f>IF($P$5="","",IF($P$5&gt;1,2,""))</f>
        <v>2</v>
      </c>
      <c r="C33" s="269">
        <v>17.212440902630906</v>
      </c>
      <c r="D33" s="269">
        <v>17.240864144833424</v>
      </c>
      <c r="E33" s="269">
        <v>17.218765890157293</v>
      </c>
      <c r="F33" s="269">
        <v>17.234833313543682</v>
      </c>
      <c r="G33" s="269">
        <v>17.212440902630906</v>
      </c>
      <c r="H33" s="269">
        <v>17.240864144833424</v>
      </c>
      <c r="I33" s="269">
        <v>17.218765890157293</v>
      </c>
      <c r="J33" s="269">
        <v>17.234833313543682</v>
      </c>
      <c r="K33" s="269">
        <v>17.212440902630906</v>
      </c>
      <c r="L33" s="269">
        <v>17.240864144833424</v>
      </c>
      <c r="M33" s="269">
        <v>17.218765890157293</v>
      </c>
      <c r="N33" s="269">
        <v>17.234833313543682</v>
      </c>
      <c r="O33" s="269">
        <v>17.212440902630906</v>
      </c>
      <c r="P33" s="269">
        <v>17.240864144833424</v>
      </c>
      <c r="Q33" s="269">
        <v>17.218765890157293</v>
      </c>
      <c r="R33" s="269">
        <v>17.234833313543682</v>
      </c>
      <c r="S33" s="269">
        <v>17.212440902630906</v>
      </c>
      <c r="T33" s="269">
        <v>17.240864144833424</v>
      </c>
      <c r="U33" s="269">
        <v>17.218765890157293</v>
      </c>
      <c r="V33" s="269">
        <v>17.234833313543682</v>
      </c>
      <c r="W33" s="269">
        <v>17.212440902630906</v>
      </c>
      <c r="X33" s="269">
        <v>17.240864144833424</v>
      </c>
      <c r="Y33" s="269">
        <v>17.218765890157293</v>
      </c>
      <c r="Z33" s="269">
        <v>17.234833313543682</v>
      </c>
      <c r="AA33" s="269">
        <v>17.212440902630906</v>
      </c>
      <c r="AB33" s="269">
        <v>17.240864144833424</v>
      </c>
      <c r="AC33" s="269">
        <v>17.218765890157293</v>
      </c>
      <c r="AD33" s="269">
        <v>17.234833313543682</v>
      </c>
      <c r="AE33" s="269">
        <v>17.212440902630906</v>
      </c>
      <c r="AF33" s="269">
        <v>17.240864144833424</v>
      </c>
      <c r="AG33" s="269">
        <v>17.218765890157293</v>
      </c>
      <c r="AH33" s="269">
        <v>17.234833313543682</v>
      </c>
      <c r="AI33" s="269">
        <v>17.212440902630906</v>
      </c>
      <c r="AJ33" s="269">
        <v>17.240864144833424</v>
      </c>
      <c r="AK33" s="269">
        <v>17.218765890157293</v>
      </c>
      <c r="AL33" s="269">
        <v>17.234833313543682</v>
      </c>
      <c r="AM33" s="269">
        <v>17.212440902630906</v>
      </c>
      <c r="AN33" s="269">
        <v>17.240864144833424</v>
      </c>
      <c r="AO33" s="269">
        <v>17.218765890157293</v>
      </c>
      <c r="AP33" s="269">
        <v>17.234833313543682</v>
      </c>
      <c r="AQ33" s="269">
        <v>17.212440902630906</v>
      </c>
      <c r="AR33" s="269">
        <v>17.240864144833424</v>
      </c>
      <c r="AS33" s="269">
        <v>17.218765890157293</v>
      </c>
      <c r="AT33" s="269">
        <v>17.234833313543682</v>
      </c>
      <c r="AU33" s="269">
        <v>17.212440902630906</v>
      </c>
      <c r="AV33" s="269">
        <v>17.240864144833424</v>
      </c>
      <c r="AW33" s="269">
        <v>17.218765890157293</v>
      </c>
      <c r="AX33" s="269">
        <v>17.234833313543682</v>
      </c>
      <c r="AY33" s="269">
        <v>17.212440902630906</v>
      </c>
      <c r="AZ33" s="269">
        <v>17.240864144833424</v>
      </c>
      <c r="BA33" s="269">
        <v>17.218765890157293</v>
      </c>
      <c r="BB33" s="269">
        <v>17.234833313543682</v>
      </c>
      <c r="BC33" s="269">
        <v>17.212440902630906</v>
      </c>
      <c r="BD33" s="269">
        <v>17.240864144833424</v>
      </c>
      <c r="BE33" s="269">
        <v>17.218765890157293</v>
      </c>
      <c r="BF33" s="269">
        <v>17.234833313543682</v>
      </c>
      <c r="BG33" s="269">
        <v>17.212440902630906</v>
      </c>
      <c r="BH33" s="269">
        <v>17.240864144833424</v>
      </c>
      <c r="BI33" s="269">
        <v>17.218765890157293</v>
      </c>
      <c r="BJ33" s="269">
        <v>17.234833313543682</v>
      </c>
      <c r="BK33" s="269">
        <v>17.212440902630906</v>
      </c>
      <c r="BL33" s="269">
        <v>17.240864144833424</v>
      </c>
      <c r="BM33" s="269">
        <v>17.218765890157293</v>
      </c>
      <c r="BN33" s="269">
        <v>17.234833313543682</v>
      </c>
      <c r="BO33" s="269">
        <v>17.212440902630906</v>
      </c>
      <c r="BP33" s="269">
        <v>17.240864144833424</v>
      </c>
      <c r="BQ33" s="269">
        <v>17.218765890157293</v>
      </c>
      <c r="BR33" s="269">
        <v>17.234833313543682</v>
      </c>
      <c r="BS33" s="269">
        <v>17.212440902630906</v>
      </c>
      <c r="BT33" s="269">
        <v>17.240864144833424</v>
      </c>
      <c r="BU33" s="269">
        <v>17.218765890157293</v>
      </c>
      <c r="BV33" s="269">
        <v>17.234833313543682</v>
      </c>
      <c r="BW33" s="194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</row>
    <row r="34" spans="1:149" x14ac:dyDescent="0.25">
      <c r="A34" s="319"/>
      <c r="B34" s="62">
        <f>IF($P$5="","",IF($P$5&gt;2,3,""))</f>
        <v>3</v>
      </c>
      <c r="C34" s="269">
        <v>17.245717338860544</v>
      </c>
      <c r="D34" s="269">
        <v>17.23260809682381</v>
      </c>
      <c r="E34" s="269">
        <v>17.23643501210589</v>
      </c>
      <c r="F34" s="269">
        <v>17.218130624017313</v>
      </c>
      <c r="G34" s="269">
        <v>17.245717338860544</v>
      </c>
      <c r="H34" s="269">
        <v>17.23260809682381</v>
      </c>
      <c r="I34" s="269">
        <v>17.23643501210589</v>
      </c>
      <c r="J34" s="269">
        <v>17.218130624017313</v>
      </c>
      <c r="K34" s="269">
        <v>17.245717338860544</v>
      </c>
      <c r="L34" s="269">
        <v>17.23260809682381</v>
      </c>
      <c r="M34" s="269">
        <v>17.23643501210589</v>
      </c>
      <c r="N34" s="269">
        <v>17.218130624017313</v>
      </c>
      <c r="O34" s="269">
        <v>17.245717338860544</v>
      </c>
      <c r="P34" s="269">
        <v>17.23260809682381</v>
      </c>
      <c r="Q34" s="269">
        <v>17.23643501210589</v>
      </c>
      <c r="R34" s="269">
        <v>17.218130624017313</v>
      </c>
      <c r="S34" s="269">
        <v>17.245717338860544</v>
      </c>
      <c r="T34" s="269">
        <v>17.23260809682381</v>
      </c>
      <c r="U34" s="269">
        <v>17.23643501210589</v>
      </c>
      <c r="V34" s="269">
        <v>17.218130624017313</v>
      </c>
      <c r="W34" s="269">
        <v>17.245717338860544</v>
      </c>
      <c r="X34" s="269">
        <v>17.23260809682381</v>
      </c>
      <c r="Y34" s="269">
        <v>17.23643501210589</v>
      </c>
      <c r="Z34" s="269">
        <v>17.218130624017313</v>
      </c>
      <c r="AA34" s="269">
        <v>17.245717338860544</v>
      </c>
      <c r="AB34" s="269">
        <v>17.23260809682381</v>
      </c>
      <c r="AC34" s="269">
        <v>17.23643501210589</v>
      </c>
      <c r="AD34" s="269">
        <v>17.218130624017313</v>
      </c>
      <c r="AE34" s="269">
        <v>17.245717338860544</v>
      </c>
      <c r="AF34" s="269">
        <v>17.23260809682381</v>
      </c>
      <c r="AG34" s="269">
        <v>17.23643501210589</v>
      </c>
      <c r="AH34" s="269">
        <v>17.218130624017313</v>
      </c>
      <c r="AI34" s="269">
        <v>17.245717338860544</v>
      </c>
      <c r="AJ34" s="269">
        <v>17.23260809682381</v>
      </c>
      <c r="AK34" s="269">
        <v>17.23643501210589</v>
      </c>
      <c r="AL34" s="269">
        <v>17.218130624017313</v>
      </c>
      <c r="AM34" s="269">
        <v>17.245717338860544</v>
      </c>
      <c r="AN34" s="269">
        <v>17.23260809682381</v>
      </c>
      <c r="AO34" s="269">
        <v>17.23643501210589</v>
      </c>
      <c r="AP34" s="269">
        <v>17.218130624017313</v>
      </c>
      <c r="AQ34" s="269">
        <v>17.245717338860544</v>
      </c>
      <c r="AR34" s="269">
        <v>17.23260809682381</v>
      </c>
      <c r="AS34" s="269">
        <v>17.23643501210589</v>
      </c>
      <c r="AT34" s="269">
        <v>17.218130624017313</v>
      </c>
      <c r="AU34" s="269">
        <v>17.245717338860544</v>
      </c>
      <c r="AV34" s="269">
        <v>17.23260809682381</v>
      </c>
      <c r="AW34" s="269">
        <v>17.23643501210589</v>
      </c>
      <c r="AX34" s="269">
        <v>17.218130624017313</v>
      </c>
      <c r="AY34" s="269">
        <v>17.245717338860544</v>
      </c>
      <c r="AZ34" s="269">
        <v>17.23260809682381</v>
      </c>
      <c r="BA34" s="269">
        <v>17.23643501210589</v>
      </c>
      <c r="BB34" s="269">
        <v>17.218130624017313</v>
      </c>
      <c r="BC34" s="269">
        <v>17.245717338860544</v>
      </c>
      <c r="BD34" s="269">
        <v>17.23260809682381</v>
      </c>
      <c r="BE34" s="269">
        <v>17.23643501210589</v>
      </c>
      <c r="BF34" s="269">
        <v>17.218130624017313</v>
      </c>
      <c r="BG34" s="269">
        <v>17.245717338860544</v>
      </c>
      <c r="BH34" s="269">
        <v>17.23260809682381</v>
      </c>
      <c r="BI34" s="269">
        <v>17.23643501210589</v>
      </c>
      <c r="BJ34" s="269">
        <v>17.218130624017313</v>
      </c>
      <c r="BK34" s="269">
        <v>17.245717338860544</v>
      </c>
      <c r="BL34" s="269">
        <v>17.23260809682381</v>
      </c>
      <c r="BM34" s="269">
        <v>17.23643501210589</v>
      </c>
      <c r="BN34" s="269">
        <v>17.218130624017313</v>
      </c>
      <c r="BO34" s="269">
        <v>17.245717338860544</v>
      </c>
      <c r="BP34" s="269">
        <v>17.23260809682381</v>
      </c>
      <c r="BQ34" s="269">
        <v>17.23643501210589</v>
      </c>
      <c r="BR34" s="269">
        <v>17.218130624017313</v>
      </c>
      <c r="BS34" s="269">
        <v>17.245717338860544</v>
      </c>
      <c r="BT34" s="269">
        <v>17.23260809682381</v>
      </c>
      <c r="BU34" s="269">
        <v>17.23643501210589</v>
      </c>
      <c r="BV34" s="269">
        <v>17.218130624017313</v>
      </c>
      <c r="BW34" s="194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</row>
    <row r="35" spans="1:149" x14ac:dyDescent="0.25">
      <c r="A35" s="319"/>
      <c r="B35" s="62">
        <f>IF($P$5="","",IF($P$5&gt;3,4,""))</f>
        <v>4</v>
      </c>
      <c r="C35" s="269">
        <v>17.232651804741487</v>
      </c>
      <c r="D35" s="269">
        <v>17.211247165562256</v>
      </c>
      <c r="E35" s="269">
        <v>17.218005091716119</v>
      </c>
      <c r="F35" s="269">
        <v>17.250646766482777</v>
      </c>
      <c r="G35" s="269">
        <v>17.232651804741487</v>
      </c>
      <c r="H35" s="269">
        <v>17.211247165562256</v>
      </c>
      <c r="I35" s="269">
        <v>17.218005091716119</v>
      </c>
      <c r="J35" s="269">
        <v>17.250646766482777</v>
      </c>
      <c r="K35" s="269">
        <v>17.232651804741487</v>
      </c>
      <c r="L35" s="269">
        <v>17.211247165562256</v>
      </c>
      <c r="M35" s="269">
        <v>17.218005091716119</v>
      </c>
      <c r="N35" s="269">
        <v>17.250646766482777</v>
      </c>
      <c r="O35" s="269">
        <v>17.232651804741487</v>
      </c>
      <c r="P35" s="269">
        <v>17.211247165562256</v>
      </c>
      <c r="Q35" s="269">
        <v>17.218005091716119</v>
      </c>
      <c r="R35" s="269">
        <v>17.250646766482777</v>
      </c>
      <c r="S35" s="269">
        <v>17.232651804741487</v>
      </c>
      <c r="T35" s="269">
        <v>17.211247165562256</v>
      </c>
      <c r="U35" s="269">
        <v>17.218005091716119</v>
      </c>
      <c r="V35" s="269">
        <v>17.250646766482777</v>
      </c>
      <c r="W35" s="269">
        <v>17.232651804741487</v>
      </c>
      <c r="X35" s="269">
        <v>17.211247165562256</v>
      </c>
      <c r="Y35" s="269">
        <v>17.218005091716119</v>
      </c>
      <c r="Z35" s="269">
        <v>17.250646766482777</v>
      </c>
      <c r="AA35" s="269">
        <v>17.232651804741487</v>
      </c>
      <c r="AB35" s="269">
        <v>17.211247165562256</v>
      </c>
      <c r="AC35" s="269">
        <v>17.218005091716119</v>
      </c>
      <c r="AD35" s="269">
        <v>17.250646766482777</v>
      </c>
      <c r="AE35" s="269">
        <v>17.232651804741487</v>
      </c>
      <c r="AF35" s="269">
        <v>17.211247165562256</v>
      </c>
      <c r="AG35" s="269">
        <v>17.218005091716119</v>
      </c>
      <c r="AH35" s="269">
        <v>17.250646766482777</v>
      </c>
      <c r="AI35" s="269">
        <v>17.232651804741487</v>
      </c>
      <c r="AJ35" s="269">
        <v>17.211247165562256</v>
      </c>
      <c r="AK35" s="269">
        <v>17.218005091716119</v>
      </c>
      <c r="AL35" s="269">
        <v>17.250646766482777</v>
      </c>
      <c r="AM35" s="269">
        <v>17.232651804741487</v>
      </c>
      <c r="AN35" s="269">
        <v>17.211247165562256</v>
      </c>
      <c r="AO35" s="269">
        <v>17.218005091716119</v>
      </c>
      <c r="AP35" s="269">
        <v>17.250646766482777</v>
      </c>
      <c r="AQ35" s="269">
        <v>17.232651804741487</v>
      </c>
      <c r="AR35" s="269">
        <v>17.211247165562256</v>
      </c>
      <c r="AS35" s="269">
        <v>17.218005091716119</v>
      </c>
      <c r="AT35" s="269">
        <v>17.250646766482777</v>
      </c>
      <c r="AU35" s="269">
        <v>17.232651804741487</v>
      </c>
      <c r="AV35" s="269">
        <v>17.211247165562256</v>
      </c>
      <c r="AW35" s="269">
        <v>17.218005091716119</v>
      </c>
      <c r="AX35" s="269">
        <v>17.250646766482777</v>
      </c>
      <c r="AY35" s="269">
        <v>17.232651804741487</v>
      </c>
      <c r="AZ35" s="269">
        <v>17.211247165562256</v>
      </c>
      <c r="BA35" s="269">
        <v>17.218005091716119</v>
      </c>
      <c r="BB35" s="269">
        <v>17.250646766482777</v>
      </c>
      <c r="BC35" s="269">
        <v>17.232651804741487</v>
      </c>
      <c r="BD35" s="269">
        <v>17.211247165562256</v>
      </c>
      <c r="BE35" s="269">
        <v>17.218005091716119</v>
      </c>
      <c r="BF35" s="269">
        <v>17.250646766482777</v>
      </c>
      <c r="BG35" s="269">
        <v>17.232651804741487</v>
      </c>
      <c r="BH35" s="269">
        <v>17.211247165562256</v>
      </c>
      <c r="BI35" s="269">
        <v>17.218005091716119</v>
      </c>
      <c r="BJ35" s="269">
        <v>17.250646766482777</v>
      </c>
      <c r="BK35" s="269">
        <v>17.232651804741487</v>
      </c>
      <c r="BL35" s="269">
        <v>17.211247165562256</v>
      </c>
      <c r="BM35" s="269">
        <v>17.218005091716119</v>
      </c>
      <c r="BN35" s="269">
        <v>17.250646766482777</v>
      </c>
      <c r="BO35" s="269">
        <v>17.232651804741487</v>
      </c>
      <c r="BP35" s="269">
        <v>17.211247165562256</v>
      </c>
      <c r="BQ35" s="269">
        <v>17.218005091716119</v>
      </c>
      <c r="BR35" s="269">
        <v>17.250646766482777</v>
      </c>
      <c r="BS35" s="269">
        <v>17.232651804741487</v>
      </c>
      <c r="BT35" s="269">
        <v>17.211247165562256</v>
      </c>
      <c r="BU35" s="269">
        <v>17.218005091716119</v>
      </c>
      <c r="BV35" s="269">
        <v>17.250646766482777</v>
      </c>
      <c r="BW35" s="194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</row>
    <row r="36" spans="1:149" ht="13.8" thickBot="1" x14ac:dyDescent="0.3">
      <c r="A36" s="320"/>
      <c r="B36" s="63">
        <f>IF($P$5="","",IF($P$5&gt;4,5,""))</f>
        <v>5</v>
      </c>
      <c r="C36" s="269">
        <v>17.208022786682669</v>
      </c>
      <c r="D36" s="269">
        <v>17.236854801003769</v>
      </c>
      <c r="E36" s="269">
        <v>17.207724875927173</v>
      </c>
      <c r="F36" s="269">
        <v>17.24947649083342</v>
      </c>
      <c r="G36" s="269">
        <v>17.208022786682669</v>
      </c>
      <c r="H36" s="269">
        <v>17.236854801003769</v>
      </c>
      <c r="I36" s="269">
        <v>17.207724875927173</v>
      </c>
      <c r="J36" s="269">
        <v>17.24947649083342</v>
      </c>
      <c r="K36" s="269">
        <v>17.208022786682669</v>
      </c>
      <c r="L36" s="269">
        <v>17.236854801003769</v>
      </c>
      <c r="M36" s="269">
        <v>17.207724875927173</v>
      </c>
      <c r="N36" s="269">
        <v>17.24947649083342</v>
      </c>
      <c r="O36" s="269">
        <v>17.208022786682669</v>
      </c>
      <c r="P36" s="269">
        <v>17.236854801003769</v>
      </c>
      <c r="Q36" s="269">
        <v>17.207724875927173</v>
      </c>
      <c r="R36" s="269">
        <v>17.24947649083342</v>
      </c>
      <c r="S36" s="269">
        <v>17.208022786682669</v>
      </c>
      <c r="T36" s="269">
        <v>17.236854801003769</v>
      </c>
      <c r="U36" s="269">
        <v>17.207724875927173</v>
      </c>
      <c r="V36" s="269">
        <v>17.24947649083342</v>
      </c>
      <c r="W36" s="269">
        <v>17.208022786682669</v>
      </c>
      <c r="X36" s="269">
        <v>17.236854801003769</v>
      </c>
      <c r="Y36" s="269">
        <v>17.207724875927173</v>
      </c>
      <c r="Z36" s="269">
        <v>17.24947649083342</v>
      </c>
      <c r="AA36" s="269">
        <v>17.208022786682669</v>
      </c>
      <c r="AB36" s="269">
        <v>17.236854801003769</v>
      </c>
      <c r="AC36" s="269">
        <v>17.207724875927173</v>
      </c>
      <c r="AD36" s="269">
        <v>17.24947649083342</v>
      </c>
      <c r="AE36" s="269">
        <v>17.208022786682669</v>
      </c>
      <c r="AF36" s="269">
        <v>17.236854801003769</v>
      </c>
      <c r="AG36" s="269">
        <v>17.207724875927173</v>
      </c>
      <c r="AH36" s="269">
        <v>17.24947649083342</v>
      </c>
      <c r="AI36" s="269">
        <v>17.208022786682669</v>
      </c>
      <c r="AJ36" s="269">
        <v>17.236854801003769</v>
      </c>
      <c r="AK36" s="269">
        <v>17.207724875927173</v>
      </c>
      <c r="AL36" s="269">
        <v>17.24947649083342</v>
      </c>
      <c r="AM36" s="269">
        <v>17.208022786682669</v>
      </c>
      <c r="AN36" s="269">
        <v>17.236854801003769</v>
      </c>
      <c r="AO36" s="269">
        <v>17.207724875927173</v>
      </c>
      <c r="AP36" s="269">
        <v>17.24947649083342</v>
      </c>
      <c r="AQ36" s="269">
        <v>17.208022786682669</v>
      </c>
      <c r="AR36" s="269">
        <v>17.236854801003769</v>
      </c>
      <c r="AS36" s="269">
        <v>17.207724875927173</v>
      </c>
      <c r="AT36" s="269">
        <v>17.24947649083342</v>
      </c>
      <c r="AU36" s="269">
        <v>17.208022786682669</v>
      </c>
      <c r="AV36" s="269">
        <v>17.236854801003769</v>
      </c>
      <c r="AW36" s="269">
        <v>17.207724875927173</v>
      </c>
      <c r="AX36" s="269">
        <v>17.24947649083342</v>
      </c>
      <c r="AY36" s="269">
        <v>17.208022786682669</v>
      </c>
      <c r="AZ36" s="269">
        <v>17.236854801003769</v>
      </c>
      <c r="BA36" s="269">
        <v>17.207724875927173</v>
      </c>
      <c r="BB36" s="269">
        <v>17.24947649083342</v>
      </c>
      <c r="BC36" s="269">
        <v>17.208022786682669</v>
      </c>
      <c r="BD36" s="269">
        <v>17.236854801003769</v>
      </c>
      <c r="BE36" s="269">
        <v>17.207724875927173</v>
      </c>
      <c r="BF36" s="269">
        <v>17.24947649083342</v>
      </c>
      <c r="BG36" s="269">
        <v>17.208022786682669</v>
      </c>
      <c r="BH36" s="269">
        <v>17.236854801003769</v>
      </c>
      <c r="BI36" s="269">
        <v>17.207724875927173</v>
      </c>
      <c r="BJ36" s="269">
        <v>17.24947649083342</v>
      </c>
      <c r="BK36" s="269">
        <v>17.208022786682669</v>
      </c>
      <c r="BL36" s="269">
        <v>17.236854801003769</v>
      </c>
      <c r="BM36" s="269">
        <v>17.207724875927173</v>
      </c>
      <c r="BN36" s="269">
        <v>17.24947649083342</v>
      </c>
      <c r="BO36" s="269">
        <v>17.208022786682669</v>
      </c>
      <c r="BP36" s="269">
        <v>17.236854801003769</v>
      </c>
      <c r="BQ36" s="269">
        <v>17.207724875927173</v>
      </c>
      <c r="BR36" s="269">
        <v>17.24947649083342</v>
      </c>
      <c r="BS36" s="269">
        <v>17.208022786682669</v>
      </c>
      <c r="BT36" s="269">
        <v>17.236854801003769</v>
      </c>
      <c r="BU36" s="269">
        <v>17.207724875927173</v>
      </c>
      <c r="BV36" s="269">
        <v>17.24947649083342</v>
      </c>
      <c r="BW36" s="194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</row>
    <row r="37" spans="1:149" x14ac:dyDescent="0.25">
      <c r="A37" s="316" t="str">
        <f>IF(Formule!$K$1=1,"AVE .X =",IF(Formule!$K$1=2,"DATA",IF(Formule!$K$1=3,"MEDIAN =","")))</f>
        <v>AVE .X =</v>
      </c>
      <c r="B37" s="317"/>
      <c r="C37" s="64">
        <f>IF(C30="","N/A",IF(Formule!$K$1=2,C32,IF(Formule!$K$1=3,MEDIAN(C32:C36),AVERAGE(C32:C36))))</f>
        <v>17.223772299417032</v>
      </c>
      <c r="D37" s="64">
        <f>IF(D30="","N/A",IF(Formule!$K$1=2,D32,IF(Formule!$K$1=3,MEDIAN(D32:D36),AVERAGE(D32:D36))))</f>
        <v>17.232445480875615</v>
      </c>
      <c r="E37" s="64">
        <f>IF(E30="","N/A",IF(Formule!$K$1=2,E32,IF(Formule!$K$1=3,MEDIAN(E32:E36),AVERAGE(E32:E36))))</f>
        <v>17.222663910821439</v>
      </c>
      <c r="F37" s="64">
        <f>IF(F30="","N/A",IF(Formule!$K$1=2,F32,IF(Formule!$K$1=3,MEDIAN(F32:F36),AVERAGE(F32:F36))))</f>
        <v>17.236359515325198</v>
      </c>
      <c r="G37" s="199">
        <f>IF(G30="","N/A",IF(Formule!$K$1=2,G32,IF(Formule!$K$1=3,MEDIAN(G32:G36),AVERAGE(G32:G36))))</f>
        <v>17.223772299417032</v>
      </c>
      <c r="H37" s="199">
        <f>IF(H30="","N/A",IF(Formule!$K$1=2,H32,IF(Formule!$K$1=3,MEDIAN(H32:H36),AVERAGE(H32:H36))))</f>
        <v>17.232445480875615</v>
      </c>
      <c r="I37" s="199">
        <f>IF(I30="","N/A",IF(Formule!$K$1=2,I32,IF(Formule!$K$1=3,MEDIAN(I32:I36),AVERAGE(I32:I36))))</f>
        <v>17.222663910821439</v>
      </c>
      <c r="J37" s="199">
        <f>IF(J30="","N/A",IF(Formule!$K$1=2,J32,IF(Formule!$K$1=3,MEDIAN(J32:J36),AVERAGE(J32:J36))))</f>
        <v>17.236359515325198</v>
      </c>
      <c r="K37" s="199">
        <f>IF(K30="","N/A",IF(Formule!$K$1=2,K32,IF(Formule!$K$1=3,MEDIAN(K32:K36),AVERAGE(K32:K36))))</f>
        <v>17.223772299417032</v>
      </c>
      <c r="L37" s="199">
        <f>IF(L30="","N/A",IF(Formule!$K$1=2,L32,IF(Formule!$K$1=3,MEDIAN(L32:L36),AVERAGE(L32:L36))))</f>
        <v>17.232445480875615</v>
      </c>
      <c r="M37" s="199">
        <f>IF(M30="","N/A",IF(Formule!$K$1=2,M32,IF(Formule!$K$1=3,MEDIAN(M32:M36),AVERAGE(M32:M36))))</f>
        <v>17.222663910821439</v>
      </c>
      <c r="N37" s="199">
        <f>IF(N30="","N/A",IF(Formule!$K$1=2,N32,IF(Formule!$K$1=3,MEDIAN(N32:N36),AVERAGE(N32:N36))))</f>
        <v>17.236359515325198</v>
      </c>
      <c r="O37" s="199">
        <f>IF(O30="","N/A",IF(Formule!$K$1=2,O32,IF(Formule!$K$1=3,MEDIAN(O32:O36),AVERAGE(O32:O36))))</f>
        <v>17.223772299417032</v>
      </c>
      <c r="P37" s="199">
        <f>IF(P30="","N/A",IF(Formule!$K$1=2,P32,IF(Formule!$K$1=3,MEDIAN(P32:P36),AVERAGE(P32:P36))))</f>
        <v>17.232445480875615</v>
      </c>
      <c r="Q37" s="199">
        <f>IF(Q30="","N/A",IF(Formule!$K$1=2,Q32,IF(Formule!$K$1=3,MEDIAN(Q32:Q36),AVERAGE(Q32:Q36))))</f>
        <v>17.222663910821439</v>
      </c>
      <c r="R37" s="199">
        <f>IF(R30="","N/A",IF(Formule!$K$1=2,R32,IF(Formule!$K$1=3,MEDIAN(R32:R36),AVERAGE(R32:R36))))</f>
        <v>17.236359515325198</v>
      </c>
      <c r="S37" s="199">
        <f>IF(S30="","N/A",IF(Formule!$K$1=2,S32,IF(Formule!$K$1=3,MEDIAN(S32:S36),AVERAGE(S32:S36))))</f>
        <v>17.223772299417032</v>
      </c>
      <c r="T37" s="199">
        <f>IF(T30="","N/A",IF(Formule!$K$1=2,T32,IF(Formule!$K$1=3,MEDIAN(T32:T36),AVERAGE(T32:T36))))</f>
        <v>17.232445480875615</v>
      </c>
      <c r="U37" s="199">
        <f>IF(U30="","N/A",IF(Formule!$K$1=2,U32,IF(Formule!$K$1=3,MEDIAN(U32:U36),AVERAGE(U32:U36))))</f>
        <v>17.222663910821439</v>
      </c>
      <c r="V37" s="199">
        <f>IF(V30="","N/A",IF(Formule!$K$1=2,V32,IF(Formule!$K$1=3,MEDIAN(V32:V36),AVERAGE(V32:V36))))</f>
        <v>17.236359515325198</v>
      </c>
      <c r="W37" s="199">
        <f>IF(W30="","N/A",IF(Formule!$K$1=2,W32,IF(Formule!$K$1=3,MEDIAN(W32:W36),AVERAGE(W32:W36))))</f>
        <v>17.223772299417032</v>
      </c>
      <c r="X37" s="199">
        <f>IF(X30="","N/A",IF(Formule!$K$1=2,X32,IF(Formule!$K$1=3,MEDIAN(X32:X36),AVERAGE(X32:X36))))</f>
        <v>17.232445480875615</v>
      </c>
      <c r="Y37" s="199">
        <f>IF(Y30="","N/A",IF(Formule!$K$1=2,Y32,IF(Formule!$K$1=3,MEDIAN(Y32:Y36),AVERAGE(Y32:Y36))))</f>
        <v>17.222663910821439</v>
      </c>
      <c r="Z37" s="199">
        <f>IF(Z30="","N/A",IF(Formule!$K$1=2,Z32,IF(Formule!$K$1=3,MEDIAN(Z32:Z36),AVERAGE(Z32:Z36))))</f>
        <v>17.236359515325198</v>
      </c>
      <c r="AA37" s="200">
        <f>IF(AA30="","N/A",IF(Formule!$K$1=2,AA32,IF(Formule!$K$1=3,MEDIAN(AA32:AA36),AVERAGE(AA32:AA36))))</f>
        <v>17.223772299417032</v>
      </c>
      <c r="AB37" s="200">
        <f>IF(AB30="","N/A",IF(Formule!$K$1=2,AB32,IF(Formule!$K$1=3,MEDIAN(AB32:AB36),AVERAGE(AB32:AB36))))</f>
        <v>17.232445480875615</v>
      </c>
      <c r="AC37" s="200">
        <f>IF(AC30="","N/A",IF(Formule!$K$1=2,AC32,IF(Formule!$K$1=3,MEDIAN(AC32:AC36),AVERAGE(AC32:AC36))))</f>
        <v>17.222663910821439</v>
      </c>
      <c r="AD37" s="200">
        <f>IF(AD30="","N/A",IF(Formule!$K$1=2,AD32,IF(Formule!$K$1=3,MEDIAN(AD32:AD36),AVERAGE(AD32:AD36))))</f>
        <v>17.236359515325198</v>
      </c>
      <c r="AE37" s="200">
        <f>IF(AE30="","N/A",IF(Formule!$K$1=2,AE32,IF(Formule!$K$1=3,MEDIAN(AE32:AE36),AVERAGE(AE32:AE36))))</f>
        <v>17.223772299417032</v>
      </c>
      <c r="AF37" s="200">
        <f>IF(AF30="","N/A",IF(Formule!$K$1=2,AF32,IF(Formule!$K$1=3,MEDIAN(AF32:AF36),AVERAGE(AF32:AF36))))</f>
        <v>17.232445480875615</v>
      </c>
      <c r="AG37" s="200">
        <f>IF(AG30="","N/A",IF(Formule!$K$1=2,AG32,IF(Formule!$K$1=3,MEDIAN(AG32:AG36),AVERAGE(AG32:AG36))))</f>
        <v>17.222663910821439</v>
      </c>
      <c r="AH37" s="200">
        <f>IF(AH30="","N/A",IF(Formule!$K$1=2,AH32,IF(Formule!$K$1=3,MEDIAN(AH32:AH36),AVERAGE(AH32:AH36))))</f>
        <v>17.236359515325198</v>
      </c>
      <c r="AI37" s="200">
        <f>IF(AI30="","N/A",IF(Formule!$K$1=2,AI32,IF(Formule!$K$1=3,MEDIAN(AI32:AI36),AVERAGE(AI32:AI36))))</f>
        <v>17.223772299417032</v>
      </c>
      <c r="AJ37" s="200">
        <f>IF(AJ30="","N/A",IF(Formule!$K$1=2,AJ32,IF(Formule!$K$1=3,MEDIAN(AJ32:AJ36),AVERAGE(AJ32:AJ36))))</f>
        <v>17.232445480875615</v>
      </c>
      <c r="AK37" s="200">
        <f>IF(AK30="","N/A",IF(Formule!$K$1=2,AK32,IF(Formule!$K$1=3,MEDIAN(AK32:AK36),AVERAGE(AK32:AK36))))</f>
        <v>17.222663910821439</v>
      </c>
      <c r="AL37" s="200">
        <f>IF(AL30="","N/A",IF(Formule!$K$1=2,AL32,IF(Formule!$K$1=3,MEDIAN(AL32:AL36),AVERAGE(AL32:AL36))))</f>
        <v>17.236359515325198</v>
      </c>
      <c r="AM37" s="200">
        <f>IF(AM30="","N/A",IF(Formule!$K$1=2,AM32,IF(Formule!$K$1=3,MEDIAN(AM32:AM36),AVERAGE(AM32:AM36))))</f>
        <v>17.223772299417032</v>
      </c>
      <c r="AN37" s="200">
        <f>IF(AN30="","N/A",IF(Formule!$K$1=2,AN32,IF(Formule!$K$1=3,MEDIAN(AN32:AN36),AVERAGE(AN32:AN36))))</f>
        <v>17.232445480875615</v>
      </c>
      <c r="AO37" s="200">
        <f>IF(AO30="","N/A",IF(Formule!$K$1=2,AO32,IF(Formule!$K$1=3,MEDIAN(AO32:AO36),AVERAGE(AO32:AO36))))</f>
        <v>17.222663910821439</v>
      </c>
      <c r="AP37" s="200">
        <f>IF(AP30="","N/A",IF(Formule!$K$1=2,AP32,IF(Formule!$K$1=3,MEDIAN(AP32:AP36),AVERAGE(AP32:AP36))))</f>
        <v>17.236359515325198</v>
      </c>
      <c r="AQ37" s="200">
        <f>IF(AQ30="","N/A",IF(Formule!$K$1=2,AQ32,IF(Formule!$K$1=3,MEDIAN(AQ32:AQ36),AVERAGE(AQ32:AQ36))))</f>
        <v>17.223772299417032</v>
      </c>
      <c r="AR37" s="200">
        <f>IF(AR30="","N/A",IF(Formule!$K$1=2,AR32,IF(Formule!$K$1=3,MEDIAN(AR32:AR36),AVERAGE(AR32:AR36))))</f>
        <v>17.232445480875615</v>
      </c>
      <c r="AS37" s="200">
        <f>IF(AS30="","N/A",IF(Formule!$K$1=2,AS32,IF(Formule!$K$1=3,MEDIAN(AS32:AS36),AVERAGE(AS32:AS36))))</f>
        <v>17.222663910821439</v>
      </c>
      <c r="AT37" s="200">
        <f>IF(AT30="","N/A",IF(Formule!$K$1=2,AT32,IF(Formule!$K$1=3,MEDIAN(AT32:AT36),AVERAGE(AT32:AT36))))</f>
        <v>17.236359515325198</v>
      </c>
      <c r="AU37" s="200">
        <f>IF(AU30="","N/A",IF(Formule!$K$1=2,AU32,IF(Formule!$K$1=3,MEDIAN(AU32:AU36),AVERAGE(AU32:AU36))))</f>
        <v>17.223772299417032</v>
      </c>
      <c r="AV37" s="200">
        <f>IF(AV30="","N/A",IF(Formule!$K$1=2,AV32,IF(Formule!$K$1=3,MEDIAN(AV32:AV36),AVERAGE(AV32:AV36))))</f>
        <v>17.232445480875615</v>
      </c>
      <c r="AW37" s="200">
        <f>IF(AW30="","N/A",IF(Formule!$K$1=2,AW32,IF(Formule!$K$1=3,MEDIAN(AW32:AW36),AVERAGE(AW32:AW36))))</f>
        <v>17.222663910821439</v>
      </c>
      <c r="AX37" s="200">
        <f>IF(AX30="","N/A",IF(Formule!$K$1=2,AX32,IF(Formule!$K$1=3,MEDIAN(AX32:AX36),AVERAGE(AX32:AX36))))</f>
        <v>17.236359515325198</v>
      </c>
      <c r="AY37" s="200">
        <f>IF(AY30="","N/A",IF(Formule!$K$1=2,AY32,IF(Formule!$K$1=3,MEDIAN(AY32:AY36),AVERAGE(AY32:AY36))))</f>
        <v>17.223772299417032</v>
      </c>
      <c r="AZ37" s="200">
        <f>IF(AZ30="","N/A",IF(Formule!$K$1=2,AZ32,IF(Formule!$K$1=3,MEDIAN(AZ32:AZ36),AVERAGE(AZ32:AZ36))))</f>
        <v>17.232445480875615</v>
      </c>
      <c r="BA37" s="200">
        <f>IF(BA30="","N/A",IF(Formule!$K$1=2,BA32,IF(Formule!$K$1=3,MEDIAN(BA32:BA36),AVERAGE(BA32:BA36))))</f>
        <v>17.222663910821439</v>
      </c>
      <c r="BB37" s="200">
        <f>IF(BB30="","N/A",IF(Formule!$K$1=2,BB32,IF(Formule!$K$1=3,MEDIAN(BB32:BB36),AVERAGE(BB32:BB36))))</f>
        <v>17.236359515325198</v>
      </c>
      <c r="BC37" s="200">
        <f>IF(BC30="","N/A",IF(Formule!$K$1=2,BC32,IF(Formule!$K$1=3,MEDIAN(BC32:BC36),AVERAGE(BC32:BC36))))</f>
        <v>17.223772299417032</v>
      </c>
      <c r="BD37" s="200">
        <f>IF(BD30="","N/A",IF(Formule!$K$1=2,BD32,IF(Formule!$K$1=3,MEDIAN(BD32:BD36),AVERAGE(BD32:BD36))))</f>
        <v>17.232445480875615</v>
      </c>
      <c r="BE37" s="200">
        <f>IF(BE30="","N/A",IF(Formule!$K$1=2,BE32,IF(Formule!$K$1=3,MEDIAN(BE32:BE36),AVERAGE(BE32:BE36))))</f>
        <v>17.222663910821439</v>
      </c>
      <c r="BF37" s="200">
        <f>IF(BF30="","N/A",IF(Formule!$K$1=2,BF32,IF(Formule!$K$1=3,MEDIAN(BF32:BF36),AVERAGE(BF32:BF36))))</f>
        <v>17.236359515325198</v>
      </c>
      <c r="BG37" s="200">
        <f>IF(BG30="","N/A",IF(Formule!$K$1=2,BG32,IF(Formule!$K$1=3,MEDIAN(BG32:BG36),AVERAGE(BG32:BG36))))</f>
        <v>17.223772299417032</v>
      </c>
      <c r="BH37" s="200">
        <f>IF(BH30="","N/A",IF(Formule!$K$1=2,BH32,IF(Formule!$K$1=3,MEDIAN(BH32:BH36),AVERAGE(BH32:BH36))))</f>
        <v>17.232445480875615</v>
      </c>
      <c r="BI37" s="200">
        <f>IF(BI30="","N/A",IF(Formule!$K$1=2,BI32,IF(Formule!$K$1=3,MEDIAN(BI32:BI36),AVERAGE(BI32:BI36))))</f>
        <v>17.222663910821439</v>
      </c>
      <c r="BJ37" s="200">
        <f>IF(BJ30="","N/A",IF(Formule!$K$1=2,BJ32,IF(Formule!$K$1=3,MEDIAN(BJ32:BJ36),AVERAGE(BJ32:BJ36))))</f>
        <v>17.236359515325198</v>
      </c>
      <c r="BK37" s="200">
        <f>IF(BK30="","N/A",IF(Formule!$K$1=2,BK32,IF(Formule!$K$1=3,MEDIAN(BK32:BK36),AVERAGE(BK32:BK36))))</f>
        <v>17.223772299417032</v>
      </c>
      <c r="BL37" s="200">
        <f>IF(BL30="","N/A",IF(Formule!$K$1=2,BL32,IF(Formule!$K$1=3,MEDIAN(BL32:BL36),AVERAGE(BL32:BL36))))</f>
        <v>17.232445480875615</v>
      </c>
      <c r="BM37" s="200">
        <f>IF(BM30="","N/A",IF(Formule!$K$1=2,BM32,IF(Formule!$K$1=3,MEDIAN(BM32:BM36),AVERAGE(BM32:BM36))))</f>
        <v>17.222663910821439</v>
      </c>
      <c r="BN37" s="200">
        <f>IF(BN30="","N/A",IF(Formule!$K$1=2,BN32,IF(Formule!$K$1=3,MEDIAN(BN32:BN36),AVERAGE(BN32:BN36))))</f>
        <v>17.236359515325198</v>
      </c>
      <c r="BO37" s="200">
        <f>IF(BO30="","N/A",IF(Formule!$K$1=2,BO32,IF(Formule!$K$1=3,MEDIAN(BO32:BO36),AVERAGE(BO32:BO36))))</f>
        <v>17.223772299417032</v>
      </c>
      <c r="BP37" s="200">
        <f>IF(BP30="","N/A",IF(Formule!$K$1=2,BP32,IF(Formule!$K$1=3,MEDIAN(BP32:BP36),AVERAGE(BP32:BP36))))</f>
        <v>17.232445480875615</v>
      </c>
      <c r="BQ37" s="200">
        <f>IF(BQ30="","N/A",IF(Formule!$K$1=2,BQ32,IF(Formule!$K$1=3,MEDIAN(BQ32:BQ36),AVERAGE(BQ32:BQ36))))</f>
        <v>17.222663910821439</v>
      </c>
      <c r="BR37" s="200">
        <f>IF(BR30="","N/A",IF(Formule!$K$1=2,BR32,IF(Formule!$K$1=3,MEDIAN(BR32:BR36),AVERAGE(BR32:BR36))))</f>
        <v>17.236359515325198</v>
      </c>
      <c r="BS37" s="200">
        <f>IF(BS30="","N/A",IF(Formule!$K$1=2,BS32,IF(Formule!$K$1=3,MEDIAN(BS32:BS36),AVERAGE(BS32:BS36))))</f>
        <v>17.223772299417032</v>
      </c>
      <c r="BT37" s="200">
        <f>IF(BT30="","N/A",IF(Formule!$K$1=2,BT32,IF(Formule!$K$1=3,MEDIAN(BT32:BT36),AVERAGE(BT32:BT36))))</f>
        <v>17.232445480875615</v>
      </c>
      <c r="BU37" s="200">
        <f>IF(BU30="","N/A",IF(Formule!$K$1=2,BU32,IF(Formule!$K$1=3,MEDIAN(BU32:BU36),AVERAGE(BU32:BU36))))</f>
        <v>17.222663910821439</v>
      </c>
      <c r="BV37" s="200">
        <f>IF(BV30="","N/A",IF(Formule!$K$1=2,BV32,IF(Formule!$K$1=3,MEDIAN(BV32:BV36),AVERAGE(BV32:BV36))))</f>
        <v>17.236359515325198</v>
      </c>
      <c r="BW37" s="221" t="str">
        <f>IF(BW30="","N/A",IF(Formule!$K$1=2,BW32,IF(Formule!$K$1=3,MEDIAN(BW32:BW36),AVERAGE(BW32:BW36))))</f>
        <v>N/A</v>
      </c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</row>
    <row r="38" spans="1:149" ht="13.8" thickBot="1" x14ac:dyDescent="0.3">
      <c r="A38" s="346" t="str">
        <f>IF(Formule!$K$1=1,"R =",IF(Formule!$K$1=2,"MR =",IF(Formule!$K$1=3,"R =","")))</f>
        <v>R =</v>
      </c>
      <c r="B38" s="347"/>
      <c r="C38" s="65">
        <f>IF(C30="","N/A",IF(Formule!$K$1=2,"N/A",MAX(C32:C36)-MIN(C32:C36)))</f>
        <v>3.7694552177875096E-2</v>
      </c>
      <c r="D38" s="65">
        <f>IF(D30="","N/A",IF(Formule!$K$1=2,ABS(C37-D37),MAX(D32:D36)-MIN(D32:D36)))</f>
        <v>2.961697927116802E-2</v>
      </c>
      <c r="E38" s="65">
        <f>IF(E30="","N/A",IF(Formule!$K$1=2,ABS(D37-E37),MAX(E32:E36)-MIN(E32:E36)))</f>
        <v>2.8710136178716539E-2</v>
      </c>
      <c r="F38" s="65">
        <f>IF(F30="","N/A",IF(Formule!$K$1=2,ABS(E37-F37),MAX(F32:F36)-MIN(F32:F36)))</f>
        <v>3.2516142465464526E-2</v>
      </c>
      <c r="G38" s="201">
        <f>IF(G30="","N/A",IF(Formule!$K$1=2,ABS(F37-G37),MAX(G32:G36)-MIN(G32:G36)))</f>
        <v>3.7694552177875096E-2</v>
      </c>
      <c r="H38" s="201">
        <f>IF(H30="","N/A",IF(Formule!$K$1=2,ABS(G37-H37),MAX(H32:H36)-MIN(H32:H36)))</f>
        <v>2.961697927116802E-2</v>
      </c>
      <c r="I38" s="201">
        <f>IF(I30="","N/A",IF(Formule!$K$1=2,ABS(H37-I37),MAX(I32:I36)-MIN(I32:I36)))</f>
        <v>2.8710136178716539E-2</v>
      </c>
      <c r="J38" s="201">
        <f>IF(J30="","N/A",IF(Formule!$K$1=2,ABS(I37-J37),MAX(J32:J36)-MIN(J32:J36)))</f>
        <v>3.2516142465464526E-2</v>
      </c>
      <c r="K38" s="201">
        <f>IF(K30="","N/A",IF(Formule!$K$1=2,ABS(J37-K37),MAX(K32:K36)-MIN(K32:K36)))</f>
        <v>3.7694552177875096E-2</v>
      </c>
      <c r="L38" s="201">
        <f>IF(L30="","N/A",IF(Formule!$K$1=2,ABS(K37-L37),MAX(L32:L36)-MIN(L32:L36)))</f>
        <v>2.961697927116802E-2</v>
      </c>
      <c r="M38" s="201">
        <f>IF(M30="","N/A",IF(Formule!$K$1=2,ABS(L37-M37),MAX(M32:M36)-MIN(M32:M36)))</f>
        <v>2.8710136178716539E-2</v>
      </c>
      <c r="N38" s="201">
        <f>IF(N30="","N/A",IF(Formule!$K$1=2,ABS(M37-N37),MAX(N32:N36)-MIN(N32:N36)))</f>
        <v>3.2516142465464526E-2</v>
      </c>
      <c r="O38" s="201">
        <f>IF(O30="","N/A",IF(Formule!$K$1=2,ABS(N37-O37),MAX(O32:O36)-MIN(O32:O36)))</f>
        <v>3.7694552177875096E-2</v>
      </c>
      <c r="P38" s="201">
        <f>IF(P30="","N/A",IF(Formule!$K$1=2,ABS(O37-P37),MAX(P32:P36)-MIN(P32:P36)))</f>
        <v>2.961697927116802E-2</v>
      </c>
      <c r="Q38" s="201">
        <f>IF(Q30="","N/A",IF(Formule!$K$1=2,ABS(P37-Q37),MAX(Q32:Q36)-MIN(Q32:Q36)))</f>
        <v>2.8710136178716539E-2</v>
      </c>
      <c r="R38" s="201">
        <f>IF(R30="","N/A",IF(Formule!$K$1=2,ABS(Q37-R37),MAX(R32:R36)-MIN(R32:R36)))</f>
        <v>3.2516142465464526E-2</v>
      </c>
      <c r="S38" s="201">
        <f>IF(S30="","N/A",IF(Formule!$K$1=2,ABS(R37-S37),MAX(S32:S36)-MIN(S32:S36)))</f>
        <v>3.7694552177875096E-2</v>
      </c>
      <c r="T38" s="201">
        <f>IF(T30="","N/A",IF(Formule!$K$1=2,ABS(S37-T37),MAX(T32:T36)-MIN(T32:T36)))</f>
        <v>2.961697927116802E-2</v>
      </c>
      <c r="U38" s="201">
        <f>IF(U30="","N/A",IF(Formule!$K$1=2,ABS(T37-U37),MAX(U32:U36)-MIN(U32:U36)))</f>
        <v>2.8710136178716539E-2</v>
      </c>
      <c r="V38" s="201">
        <f>IF(V30="","N/A",IF(Formule!$K$1=2,ABS(U37-V37),MAX(V32:V36)-MIN(V32:V36)))</f>
        <v>3.2516142465464526E-2</v>
      </c>
      <c r="W38" s="201">
        <f>IF(W30="","N/A",IF(Formule!$K$1=2,ABS(V37-W37),MAX(W32:W36)-MIN(W32:W36)))</f>
        <v>3.7694552177875096E-2</v>
      </c>
      <c r="X38" s="201">
        <f>IF(X30="","N/A",IF(Formule!$K$1=2,ABS(W37-X37),MAX(X32:X36)-MIN(X32:X36)))</f>
        <v>2.961697927116802E-2</v>
      </c>
      <c r="Y38" s="201">
        <f>IF(Y30="","N/A",IF(Formule!$K$1=2,ABS(X37-Y37),MAX(Y32:Y36)-MIN(Y32:Y36)))</f>
        <v>2.8710136178716539E-2</v>
      </c>
      <c r="Z38" s="201">
        <f>IF(Z30="","N/A",IF(Formule!$K$1=2,ABS(Y37-Z37),MAX(Z32:Z36)-MIN(Z32:Z36)))</f>
        <v>3.2516142465464526E-2</v>
      </c>
      <c r="AA38" s="202">
        <f>IF(AA30="","N/A",IF(Formule!$K$1=2,ABS(Z37-AA37),MAX(AA32:AA36)-MIN(AA32:AA36)))</f>
        <v>3.7694552177875096E-2</v>
      </c>
      <c r="AB38" s="262">
        <f>IF(AB30="","N/A",IF(Formule!$K$1=2,ABS(AA37-AB37),MAX(AB32:AB36)-MIN(AB32:AB36)))</f>
        <v>2.961697927116802E-2</v>
      </c>
      <c r="AC38" s="202">
        <f>IF(AC30="","N/A",IF(Formule!$K$1=2,ABS(AB37-AC37),MAX(AC32:AC36)-MIN(AC32:AC36)))</f>
        <v>2.8710136178716539E-2</v>
      </c>
      <c r="AD38" s="202">
        <f>IF(AD30="","N/A",IF(Formule!$K$1=2,ABS(AC37-AD37),MAX(AD32:AD36)-MIN(AD32:AD36)))</f>
        <v>3.2516142465464526E-2</v>
      </c>
      <c r="AE38" s="202">
        <f>IF(AE30="","N/A",IF(Formule!$K$1=2,ABS(AD37-AE37),MAX(AE32:AE36)-MIN(AE32:AE36)))</f>
        <v>3.7694552177875096E-2</v>
      </c>
      <c r="AF38" s="202">
        <f>IF(AF30="","N/A",IF(Formule!$K$1=2,ABS(AE37-AF37),MAX(AF32:AF36)-MIN(AF32:AF36)))</f>
        <v>2.961697927116802E-2</v>
      </c>
      <c r="AG38" s="202">
        <f>IF(AG30="","N/A",IF(Formule!$K$1=2,ABS(AF37-AG37),MAX(AG32:AG36)-MIN(AG32:AG36)))</f>
        <v>2.8710136178716539E-2</v>
      </c>
      <c r="AH38" s="202">
        <f>IF(AH30="","N/A",IF(Formule!$K$1=2,ABS(AG37-AH37),MAX(AH32:AH36)-MIN(AH32:AH36)))</f>
        <v>3.2516142465464526E-2</v>
      </c>
      <c r="AI38" s="202">
        <f>IF(AI30="","N/A",IF(Formule!$K$1=2,ABS(AH37-AI37),MAX(AI32:AI36)-MIN(AI32:AI36)))</f>
        <v>3.7694552177875096E-2</v>
      </c>
      <c r="AJ38" s="202">
        <f>IF(AJ30="","N/A",IF(Formule!$K$1=2,ABS(AI37-AJ37),MAX(AJ32:AJ36)-MIN(AJ32:AJ36)))</f>
        <v>2.961697927116802E-2</v>
      </c>
      <c r="AK38" s="202">
        <f>IF(AK30="","N/A",IF(Formule!$K$1=2,ABS(AJ37-AK37),MAX(AK32:AK36)-MIN(AK32:AK36)))</f>
        <v>2.8710136178716539E-2</v>
      </c>
      <c r="AL38" s="202">
        <f>IF(AL30="","N/A",IF(Formule!$K$1=2,ABS(AK37-AL37),MAX(AL32:AL36)-MIN(AL32:AL36)))</f>
        <v>3.2516142465464526E-2</v>
      </c>
      <c r="AM38" s="202">
        <f>IF(AM30="","N/A",IF(Formule!$K$1=2,ABS(AL37-AM37),MAX(AM32:AM36)-MIN(AM32:AM36)))</f>
        <v>3.7694552177875096E-2</v>
      </c>
      <c r="AN38" s="202">
        <f>IF(AN30="","N/A",IF(Formule!$K$1=2,ABS(AM37-AN37),MAX(AN32:AN36)-MIN(AN32:AN36)))</f>
        <v>2.961697927116802E-2</v>
      </c>
      <c r="AO38" s="202">
        <f>IF(AO30="","N/A",IF(Formule!$K$1=2,ABS(AN37-AO37),MAX(AO32:AO36)-MIN(AO32:AO36)))</f>
        <v>2.8710136178716539E-2</v>
      </c>
      <c r="AP38" s="202">
        <f>IF(AP30="","N/A",IF(Formule!$K$1=2,ABS(AO37-AP37),MAX(AP32:AP36)-MIN(AP32:AP36)))</f>
        <v>3.2516142465464526E-2</v>
      </c>
      <c r="AQ38" s="202">
        <f>IF(AQ30="","N/A",IF(Formule!$K$1=2,ABS(AP37-AQ37),MAX(AQ32:AQ36)-MIN(AQ32:AQ36)))</f>
        <v>3.7694552177875096E-2</v>
      </c>
      <c r="AR38" s="202">
        <f>IF(AR30="","N/A",IF(Formule!$K$1=2,ABS(AQ37-AR37),MAX(AR32:AR36)-MIN(AR32:AR36)))</f>
        <v>2.961697927116802E-2</v>
      </c>
      <c r="AS38" s="202">
        <f>IF(AS30="","N/A",IF(Formule!$K$1=2,ABS(AR37-AS37),MAX(AS32:AS36)-MIN(AS32:AS36)))</f>
        <v>2.8710136178716539E-2</v>
      </c>
      <c r="AT38" s="202">
        <f>IF(AT30="","N/A",IF(Formule!$K$1=2,ABS(AS37-AT37),MAX(AT32:AT36)-MIN(AT32:AT36)))</f>
        <v>3.2516142465464526E-2</v>
      </c>
      <c r="AU38" s="202">
        <f>IF(AU30="","N/A",IF(Formule!$K$1=2,ABS(AT37-AU37),MAX(AU32:AU36)-MIN(AU32:AU36)))</f>
        <v>3.7694552177875096E-2</v>
      </c>
      <c r="AV38" s="202">
        <f>IF(AV30="","N/A",IF(Formule!$K$1=2,ABS(AU37-AV37),MAX(AV32:AV36)-MIN(AV32:AV36)))</f>
        <v>2.961697927116802E-2</v>
      </c>
      <c r="AW38" s="202">
        <f>IF(AW30="","N/A",IF(Formule!$K$1=2,ABS(AV37-AW37),MAX(AW32:AW36)-MIN(AW32:AW36)))</f>
        <v>2.8710136178716539E-2</v>
      </c>
      <c r="AX38" s="202">
        <f>IF(AX30="","N/A",IF(Formule!$K$1=2,ABS(AW37-AX37),MAX(AX32:AX36)-MIN(AX32:AX36)))</f>
        <v>3.2516142465464526E-2</v>
      </c>
      <c r="AY38" s="202">
        <f>IF(AY30="","N/A",IF(Formule!$K$1=2,ABS(AX37-AY37),MAX(AY32:AY36)-MIN(AY32:AY36)))</f>
        <v>3.7694552177875096E-2</v>
      </c>
      <c r="AZ38" s="202">
        <f>IF(AZ30="","N/A",IF(Formule!$K$1=2,ABS(AY37-AZ37),MAX(AZ32:AZ36)-MIN(AZ32:AZ36)))</f>
        <v>2.961697927116802E-2</v>
      </c>
      <c r="BA38" s="202">
        <f>IF(BA30="","N/A",IF(Formule!$K$1=2,ABS(AZ37-BA37),MAX(BA32:BA36)-MIN(BA32:BA36)))</f>
        <v>2.8710136178716539E-2</v>
      </c>
      <c r="BB38" s="202">
        <f>IF(BB30="","N/A",IF(Formule!$K$1=2,ABS(BA37-BB37),MAX(BB32:BB36)-MIN(BB32:BB36)))</f>
        <v>3.2516142465464526E-2</v>
      </c>
      <c r="BC38" s="202">
        <f>IF(BC30="","N/A",IF(Formule!$K$1=2,ABS(BB37-BC37),MAX(BC32:BC36)-MIN(BC32:BC36)))</f>
        <v>3.7694552177875096E-2</v>
      </c>
      <c r="BD38" s="202">
        <f>IF(BD30="","N/A",IF(Formule!$K$1=2,ABS(BC37-BD37),MAX(BD32:BD36)-MIN(BD32:BD36)))</f>
        <v>2.961697927116802E-2</v>
      </c>
      <c r="BE38" s="202">
        <f>IF(BE30="","N/A",IF(Formule!$K$1=2,ABS(BD37-BE37),MAX(BE32:BE36)-MIN(BE32:BE36)))</f>
        <v>2.8710136178716539E-2</v>
      </c>
      <c r="BF38" s="202">
        <f>IF(BF30="","N/A",IF(Formule!$K$1=2,ABS(BE37-BF37),MAX(BF32:BF36)-MIN(BF32:BF36)))</f>
        <v>3.2516142465464526E-2</v>
      </c>
      <c r="BG38" s="202">
        <f>IF(BG30="","N/A",IF(Formule!$K$1=2,ABS(BF37-BG37),MAX(BG32:BG36)-MIN(BG32:BG36)))</f>
        <v>3.7694552177875096E-2</v>
      </c>
      <c r="BH38" s="202">
        <f>IF(BH30="","N/A",IF(Formule!$K$1=2,ABS(BG37-BH37),MAX(BH32:BH36)-MIN(BH32:BH36)))</f>
        <v>2.961697927116802E-2</v>
      </c>
      <c r="BI38" s="202">
        <f>IF(BI30="","N/A",IF(Formule!$K$1=2,ABS(BH37-BI37),MAX(BI32:BI36)-MIN(BI32:BI36)))</f>
        <v>2.8710136178716539E-2</v>
      </c>
      <c r="BJ38" s="202">
        <f>IF(BJ30="","N/A",IF(Formule!$K$1=2,ABS(BI37-BJ37),MAX(BJ32:BJ36)-MIN(BJ32:BJ36)))</f>
        <v>3.2516142465464526E-2</v>
      </c>
      <c r="BK38" s="202">
        <f>IF(BK30="","N/A",IF(Formule!$K$1=2,ABS(BJ37-BK37),MAX(BK32:BK36)-MIN(BK32:BK36)))</f>
        <v>3.7694552177875096E-2</v>
      </c>
      <c r="BL38" s="202">
        <f>IF(BL30="","N/A",IF(Formule!$K$1=2,ABS(BK37-BL37),MAX(BL32:BL36)-MIN(BL32:BL36)))</f>
        <v>2.961697927116802E-2</v>
      </c>
      <c r="BM38" s="202">
        <f>IF(BM30="","N/A",IF(Formule!$K$1=2,ABS(BL37-BM37),MAX(BM32:BM36)-MIN(BM32:BM36)))</f>
        <v>2.8710136178716539E-2</v>
      </c>
      <c r="BN38" s="202">
        <f>IF(BN30="","N/A",IF(Formule!$K$1=2,ABS(BM37-BN37),MAX(BN32:BN36)-MIN(BN32:BN36)))</f>
        <v>3.2516142465464526E-2</v>
      </c>
      <c r="BO38" s="202">
        <f>IF(BO30="","N/A",IF(Formule!$K$1=2,ABS(BN37-BO37),MAX(BO32:BO36)-MIN(BO32:BO36)))</f>
        <v>3.7694552177875096E-2</v>
      </c>
      <c r="BP38" s="202">
        <f>IF(BP30="","N/A",IF(Formule!$K$1=2,ABS(BO37-BP37),MAX(BP32:BP36)-MIN(BP32:BP36)))</f>
        <v>2.961697927116802E-2</v>
      </c>
      <c r="BQ38" s="202">
        <f>IF(BQ30="","N/A",IF(Formule!$K$1=2,ABS(BP37-BQ37),MAX(BQ32:BQ36)-MIN(BQ32:BQ36)))</f>
        <v>2.8710136178716539E-2</v>
      </c>
      <c r="BR38" s="202">
        <f>IF(BR30="","N/A",IF(Formule!$K$1=2,ABS(BQ37-BR37),MAX(BR32:BR36)-MIN(BR32:BR36)))</f>
        <v>3.2516142465464526E-2</v>
      </c>
      <c r="BS38" s="202">
        <f>IF(BS30="","N/A",IF(Formule!$K$1=2,ABS(BR37-BS37),MAX(BS32:BS36)-MIN(BS32:BS36)))</f>
        <v>3.7694552177875096E-2</v>
      </c>
      <c r="BT38" s="202">
        <f>IF(BT30="","N/A",IF(Formule!$K$1=2,ABS(BS37-BT37),MAX(BT32:BT36)-MIN(BT32:BT36)))</f>
        <v>2.961697927116802E-2</v>
      </c>
      <c r="BU38" s="202">
        <f>IF(BU30="","N/A",IF(Formule!$K$1=2,ABS(BT37-BU37),MAX(BU32:BU36)-MIN(BU32:BU36)))</f>
        <v>2.8710136178716539E-2</v>
      </c>
      <c r="BV38" s="202">
        <f>IF(BV30="","N/A",IF(Formule!$K$1=2,ABS(BU37-BV37),MAX(BV32:BV36)-MIN(BV32:BV36)))</f>
        <v>3.2516142465464526E-2</v>
      </c>
      <c r="BW38" s="221" t="str">
        <f>IF(BW30="","N/A",IF(Formule!$K$1=2,ABS(BV37-BW37),MAX(BW32:BW36)-MIN(BW32:BW36)))</f>
        <v>N/A</v>
      </c>
      <c r="DI38" s="26"/>
      <c r="DJ38" s="26"/>
      <c r="DK38" s="26"/>
      <c r="DL38" s="26"/>
      <c r="DM38" s="26"/>
      <c r="DN38" s="26"/>
      <c r="DO38" s="26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</row>
    <row r="39" spans="1:149" ht="12.75" customHeight="1" x14ac:dyDescent="0.25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68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</row>
    <row r="40" spans="1:149" ht="12.75" customHeight="1" thickBot="1" x14ac:dyDescent="0.3">
      <c r="A40" s="82"/>
      <c r="B40" s="333" t="s">
        <v>106</v>
      </c>
      <c r="C40" s="333"/>
      <c r="D40" s="333"/>
      <c r="E40" s="333"/>
      <c r="F40" s="333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68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</row>
    <row r="41" spans="1:149" ht="15.75" customHeight="1" thickBot="1" x14ac:dyDescent="0.3">
      <c r="A41" s="82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341" t="s">
        <v>130</v>
      </c>
      <c r="T41" s="342"/>
      <c r="U41" s="342"/>
      <c r="V41" s="342"/>
      <c r="W41" s="342"/>
      <c r="X41" s="343"/>
      <c r="Z41" s="333" t="s">
        <v>23</v>
      </c>
      <c r="AA41" s="333"/>
      <c r="AB41" s="333"/>
      <c r="AC41" s="333"/>
      <c r="AD41" s="333"/>
      <c r="AE41" s="48"/>
      <c r="AF41" s="48"/>
      <c r="AG41" s="48"/>
      <c r="AH41" s="48"/>
      <c r="AI41" s="48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</row>
    <row r="42" spans="1:149" ht="15.9" customHeight="1" thickTop="1" x14ac:dyDescent="0.3">
      <c r="A42" s="82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82"/>
      <c r="T42" s="48"/>
      <c r="U42" s="48"/>
      <c r="V42" s="48"/>
      <c r="W42" s="48"/>
      <c r="X42" s="83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</row>
    <row r="43" spans="1:149" ht="15.9" customHeight="1" x14ac:dyDescent="0.3">
      <c r="A43" s="82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82"/>
      <c r="T43" s="48"/>
      <c r="U43" s="356" t="s">
        <v>24</v>
      </c>
      <c r="V43" s="356"/>
      <c r="W43" s="356" t="s">
        <v>25</v>
      </c>
      <c r="X43" s="357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</row>
    <row r="44" spans="1:149" ht="15.75" customHeight="1" x14ac:dyDescent="0.25">
      <c r="A44" s="82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84" t="s">
        <v>26</v>
      </c>
      <c r="T44" s="122"/>
      <c r="U44" s="356">
        <f ca="1">IF(P5="","",IF(AND(Formule!BC1=1,Formule!R15&gt;=1),"",IF(K9=3,"N/A",ROUND(COUNTIF($C$37:$BA$37,"&lt;"&amp;AH3)*1000000/Formule!T8,Formule!R$128))))</f>
        <v>0</v>
      </c>
      <c r="V44" s="356"/>
      <c r="W44" s="356">
        <f ca="1">IF(P5="","",IF(AND(Formule!BC1=1,Formule!R15&gt;=1),"",IF(K9=3,"N/A",NORMSDIST(Formule!R130)*1000000)))</f>
        <v>0.94691482703403418</v>
      </c>
      <c r="X44" s="357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</row>
    <row r="45" spans="1:149" ht="12.75" customHeight="1" x14ac:dyDescent="0.25">
      <c r="A45" s="82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84" t="s">
        <v>27</v>
      </c>
      <c r="T45" s="48"/>
      <c r="U45" s="356">
        <f ca="1">IF(P5="","",IF(AND(Formule!BC1=1,Formule!R15&gt;=1),"",IF(K9=2,"N/A",ROUND(COUNTIF($C$37:$BA$37,"&gt;"&amp;AH5)*1000000/Formule!T8,Formule!R$128))))</f>
        <v>0</v>
      </c>
      <c r="V45" s="356"/>
      <c r="W45" s="356">
        <f ca="1">IF(P5="","",IF(AND(Formule!BC1=1,Formule!R15&gt;=1),"",IF(K9=2,"N/A",(1-NORMSDIST(Formule!R133))*1000000)))</f>
        <v>0</v>
      </c>
      <c r="X45" s="357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</row>
    <row r="46" spans="1:149" ht="14.25" customHeight="1" x14ac:dyDescent="0.25">
      <c r="A46" s="82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84" t="s">
        <v>28</v>
      </c>
      <c r="T46" s="48"/>
      <c r="U46" s="356">
        <f ca="1">IF(P5="","",IF(AND(Formule!BC1=1,Formule!R15&gt;=1),"",SUM(U44:V45)))</f>
        <v>0</v>
      </c>
      <c r="V46" s="356"/>
      <c r="W46" s="356">
        <f ca="1">IF(P5="","",IF(AND(Formule!BC1=1,Formule!R15&gt;=1),"",IF(AH3="",W45,IF(AH5="",W44,ROUND(SUM(W44:X45),Formule!R$128)))))</f>
        <v>0.94699999999999995</v>
      </c>
      <c r="X46" s="357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</row>
    <row r="47" spans="1:149" ht="12.75" customHeight="1" x14ac:dyDescent="0.25">
      <c r="A47" s="82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84" t="s">
        <v>29</v>
      </c>
      <c r="T47" s="48"/>
      <c r="U47" s="351">
        <f ca="1">IF(P5="","",IF(AND(Formule!BC1=1,Formule!R15&gt;=1),"",ROUND(U46/1000000,3)))</f>
        <v>0</v>
      </c>
      <c r="V47" s="351"/>
      <c r="W47" s="351">
        <f ca="1">IF(P5="","",IF(AND(Formule!BC1=1,Formule!R15&gt;=1),"",ROUND(W46/1000000,3)))</f>
        <v>0</v>
      </c>
      <c r="X47" s="355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</row>
    <row r="48" spans="1:149" ht="12.75" customHeight="1" x14ac:dyDescent="0.25">
      <c r="A48" s="82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82"/>
      <c r="T48" s="48"/>
      <c r="U48" s="48"/>
      <c r="V48" s="48"/>
      <c r="W48" s="48"/>
      <c r="X48" s="83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</row>
    <row r="49" spans="1:149" ht="12.75" customHeight="1" x14ac:dyDescent="0.25">
      <c r="A49" s="8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352" t="str">
        <f ca="1">IF(P5="","",IF(AND(Formule!BC1=1,Formule!R15&gt;=1),"",IF(Formule!M173=1,CONCATENATE(Formule!P171,Formule!S171*100,Formule!T171),IF(Formule!M174=1,CONCATENATE(Formule!P172,Formule!T172*100,Formule!U172),IF(Formule!M175=1,CONCATENATE(Formule!P171,Formule!S171*100,Formule!T171,Formule!U173,Formule!P172,Formule!T172*100,Formule!U172),"Process output without usual defects")))))</f>
        <v>Process output without usual defects</v>
      </c>
      <c r="T49" s="353"/>
      <c r="U49" s="353"/>
      <c r="V49" s="353"/>
      <c r="W49" s="353"/>
      <c r="X49" s="354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</row>
    <row r="50" spans="1:149" ht="12.75" customHeight="1" x14ac:dyDescent="0.25">
      <c r="A50" s="82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352"/>
      <c r="T50" s="353"/>
      <c r="U50" s="353"/>
      <c r="V50" s="353"/>
      <c r="W50" s="353"/>
      <c r="X50" s="354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</row>
    <row r="51" spans="1:149" ht="12.75" customHeight="1" thickBot="1" x14ac:dyDescent="0.3">
      <c r="A51" s="82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85"/>
      <c r="T51" s="86"/>
      <c r="U51" s="86"/>
      <c r="V51" s="86"/>
      <c r="W51" s="86"/>
      <c r="X51" s="87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</row>
    <row r="52" spans="1:149" ht="12.75" customHeight="1" x14ac:dyDescent="0.25">
      <c r="A52" s="8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</row>
    <row r="53" spans="1:149" ht="12.75" customHeight="1" x14ac:dyDescent="0.25">
      <c r="A53" s="82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</row>
    <row r="54" spans="1:149" ht="12.75" customHeight="1" x14ac:dyDescent="0.25">
      <c r="A54" s="82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AA54" s="4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</row>
    <row r="55" spans="1:149" ht="17.25" customHeight="1" x14ac:dyDescent="0.25">
      <c r="A55" s="82"/>
      <c r="L55" s="48"/>
      <c r="M55" s="48"/>
      <c r="N55" s="48"/>
      <c r="O55" s="48"/>
      <c r="P55" s="48"/>
      <c r="Q55" s="48"/>
      <c r="R55" s="48"/>
      <c r="AA55" s="4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</row>
    <row r="56" spans="1:149" ht="16.5" customHeight="1" x14ac:dyDescent="0.25">
      <c r="A56" s="82"/>
      <c r="R56" s="48"/>
      <c r="AA56" s="4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</row>
    <row r="57" spans="1:149" ht="12.75" customHeight="1" x14ac:dyDescent="0.25">
      <c r="A57" s="82"/>
      <c r="R57" s="48"/>
      <c r="AA57" s="4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</row>
    <row r="58" spans="1:149" ht="12.75" customHeight="1" x14ac:dyDescent="0.25">
      <c r="A58" s="82"/>
      <c r="R58" s="48"/>
      <c r="AA58" s="4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</row>
    <row r="59" spans="1:149" ht="12.75" customHeight="1" x14ac:dyDescent="0.25">
      <c r="A59" s="82"/>
      <c r="R59" s="48"/>
      <c r="AA59" s="4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</row>
    <row r="60" spans="1:149" ht="14.1" customHeight="1" x14ac:dyDescent="0.25">
      <c r="A60" s="82"/>
      <c r="R60" s="48"/>
      <c r="AA60" s="4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</row>
    <row r="61" spans="1:149" ht="12.75" customHeight="1" x14ac:dyDescent="0.25">
      <c r="A61" s="82"/>
      <c r="R61" s="48"/>
      <c r="AA61" s="4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</row>
    <row r="62" spans="1:149" ht="12.75" customHeight="1" x14ac:dyDescent="0.25">
      <c r="A62" s="82"/>
      <c r="R62" s="48"/>
      <c r="AA62" s="4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</row>
    <row r="63" spans="1:149" ht="12.75" customHeight="1" x14ac:dyDescent="0.25">
      <c r="A63" s="82"/>
      <c r="R63" s="48"/>
      <c r="S63" s="88"/>
      <c r="T63" s="88"/>
      <c r="U63" s="88"/>
      <c r="V63" s="88"/>
      <c r="W63" s="88"/>
      <c r="X63" s="88"/>
      <c r="Y63" s="88"/>
      <c r="Z63" s="88"/>
      <c r="AA63" s="4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</row>
    <row r="64" spans="1:149" ht="18" customHeight="1" x14ac:dyDescent="0.25">
      <c r="A64" s="82"/>
      <c r="R64" s="48"/>
      <c r="S64" s="48"/>
      <c r="T64" s="48"/>
      <c r="U64" s="48"/>
      <c r="V64" s="48"/>
      <c r="W64" s="48"/>
      <c r="X64" s="48"/>
      <c r="Y64" s="48"/>
      <c r="Z64" s="164"/>
      <c r="AA64" s="4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</row>
    <row r="65" spans="1:149" ht="12.75" customHeight="1" x14ac:dyDescent="0.25">
      <c r="A65" s="82"/>
      <c r="R65" s="48"/>
      <c r="AA65" s="4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</row>
    <row r="66" spans="1:149" ht="12.75" customHeight="1" x14ac:dyDescent="0.25">
      <c r="A66" s="82"/>
      <c r="R66" s="48"/>
      <c r="S66" s="48"/>
      <c r="T66" s="48"/>
      <c r="U66" s="48"/>
      <c r="V66" s="48"/>
      <c r="W66" s="48"/>
      <c r="X66" s="48"/>
      <c r="Y66" s="48"/>
      <c r="Z66" s="164"/>
      <c r="AA66" s="4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</row>
    <row r="67" spans="1:149" ht="12.75" customHeight="1" x14ac:dyDescent="0.25">
      <c r="A67" s="82"/>
      <c r="L67" s="88"/>
      <c r="M67" s="88"/>
      <c r="N67" s="88"/>
      <c r="O67" s="88"/>
      <c r="P67" s="88"/>
      <c r="Q67" s="88"/>
      <c r="R67" s="88"/>
      <c r="S67" s="48"/>
      <c r="T67" s="48"/>
      <c r="U67" s="48"/>
      <c r="V67" s="48"/>
      <c r="W67" s="48"/>
      <c r="X67" s="48"/>
      <c r="Y67" s="48"/>
      <c r="Z67" s="164"/>
      <c r="AA67" s="4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</row>
    <row r="68" spans="1:149" ht="12.75" customHeight="1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164"/>
      <c r="AA68" s="4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</row>
    <row r="69" spans="1:149" ht="12.75" customHeight="1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164"/>
      <c r="AA69" s="4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</row>
    <row r="70" spans="1:149" ht="12.75" customHeight="1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88"/>
      <c r="T70" s="88"/>
      <c r="U70" s="88"/>
      <c r="V70" s="88"/>
      <c r="W70" s="88"/>
      <c r="X70" s="88"/>
      <c r="Y70" s="88"/>
      <c r="Z70" s="164"/>
      <c r="AA70" s="4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</row>
    <row r="71" spans="1:149" ht="12.75" customHeight="1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88"/>
      <c r="T71" s="88"/>
      <c r="U71" s="88"/>
      <c r="V71" s="88"/>
      <c r="W71" s="88"/>
      <c r="X71" s="88"/>
      <c r="Y71" s="88"/>
      <c r="Z71" s="164"/>
      <c r="AA71" s="4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</row>
    <row r="72" spans="1:149" ht="9.9" customHeight="1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88"/>
      <c r="T72" s="88"/>
      <c r="U72" s="88"/>
      <c r="V72" s="88"/>
      <c r="W72" s="88"/>
      <c r="X72" s="88"/>
      <c r="Y72" s="88"/>
      <c r="Z72" s="164"/>
      <c r="AA72" s="4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</row>
    <row r="73" spans="1:149" ht="12.75" customHeight="1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88"/>
      <c r="T73" s="88"/>
      <c r="U73" s="88"/>
      <c r="V73" s="88"/>
      <c r="W73" s="88"/>
      <c r="X73" s="88"/>
      <c r="Y73" s="88"/>
      <c r="Z73" s="164"/>
      <c r="AA73" s="4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</row>
    <row r="74" spans="1:149" ht="12" customHeight="1" x14ac:dyDescent="0.25">
      <c r="A74" s="4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164"/>
      <c r="AA74" s="4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</row>
    <row r="75" spans="1:149" ht="12" customHeight="1" x14ac:dyDescent="0.25">
      <c r="A75" s="4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164"/>
      <c r="AA75" s="4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</row>
    <row r="76" spans="1:149" ht="12" customHeight="1" x14ac:dyDescent="0.25">
      <c r="A76" s="4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164"/>
      <c r="AA76" s="4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</row>
    <row r="77" spans="1:149" ht="12" customHeight="1" x14ac:dyDescent="0.25">
      <c r="A77" s="4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164"/>
      <c r="AA77" s="4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</row>
    <row r="78" spans="1:149" ht="12" customHeight="1" x14ac:dyDescent="0.25">
      <c r="A78" s="4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12"/>
      <c r="T78" s="12"/>
      <c r="U78" s="12"/>
      <c r="V78" s="12"/>
      <c r="W78" s="12"/>
      <c r="X78" s="12"/>
      <c r="Y78" s="12"/>
      <c r="Z78" s="25"/>
      <c r="AA78" s="4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</row>
    <row r="79" spans="1:149" ht="12" customHeight="1" x14ac:dyDescent="0.25">
      <c r="A79" s="4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12"/>
      <c r="T79" s="12"/>
      <c r="U79" s="12"/>
      <c r="V79" s="12"/>
      <c r="W79" s="12"/>
      <c r="X79" s="12"/>
      <c r="Y79" s="12"/>
      <c r="Z79" s="25"/>
      <c r="AA79" s="8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</row>
    <row r="80" spans="1:149" ht="12" customHeight="1" x14ac:dyDescent="0.25">
      <c r="A80" s="4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12"/>
      <c r="T80" s="12"/>
      <c r="U80" s="12"/>
      <c r="V80" s="12"/>
      <c r="W80" s="12"/>
      <c r="X80" s="12"/>
      <c r="Y80" s="12"/>
      <c r="Z80" s="25"/>
      <c r="AA80" s="8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</row>
    <row r="81" spans="1:149" ht="12" customHeight="1" x14ac:dyDescent="0.25">
      <c r="A81" s="4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12"/>
      <c r="T81" s="12"/>
      <c r="U81" s="12"/>
      <c r="V81" s="12"/>
      <c r="W81" s="12"/>
      <c r="X81" s="12"/>
      <c r="Y81" s="12"/>
      <c r="Z81" s="25"/>
      <c r="AA81" s="8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</row>
    <row r="82" spans="1:149" ht="12" customHeight="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25"/>
      <c r="AA82" s="12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</row>
    <row r="83" spans="1:14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25"/>
      <c r="AA83" s="12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</row>
    <row r="84" spans="1:149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25"/>
      <c r="AA84" s="12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</row>
    <row r="85" spans="1:149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25"/>
      <c r="AA85" s="12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</row>
    <row r="86" spans="1:149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25"/>
      <c r="AA86" s="12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</row>
    <row r="87" spans="1:149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25"/>
      <c r="AA87" s="12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</row>
    <row r="88" spans="1:149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25"/>
      <c r="AA88" s="12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</row>
    <row r="89" spans="1:149" s="12" customFormat="1" x14ac:dyDescent="0.25">
      <c r="Z89" s="25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</row>
    <row r="90" spans="1:149" s="12" customFormat="1" x14ac:dyDescent="0.25">
      <c r="Z90" s="25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</row>
    <row r="91" spans="1:149" s="12" customFormat="1" x14ac:dyDescent="0.25">
      <c r="Z91" s="25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149" s="12" customFormat="1" x14ac:dyDescent="0.25">
      <c r="Z92" s="25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</row>
    <row r="93" spans="1:149" s="12" customFormat="1" x14ac:dyDescent="0.25"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</row>
    <row r="94" spans="1:149" s="12" customFormat="1" x14ac:dyDescent="0.25"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</row>
    <row r="95" spans="1:149" s="12" customFormat="1" x14ac:dyDescent="0.25"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49" s="12" customFormat="1" x14ac:dyDescent="0.25"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27:52" s="12" customFormat="1" x14ac:dyDescent="0.25"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</row>
    <row r="98" spans="27:52" s="12" customFormat="1" x14ac:dyDescent="0.25"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27:52" s="12" customFormat="1" x14ac:dyDescent="0.25"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</row>
    <row r="100" spans="27:52" s="12" customFormat="1" x14ac:dyDescent="0.25"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</row>
    <row r="101" spans="27:52" s="12" customFormat="1" x14ac:dyDescent="0.25"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</row>
    <row r="102" spans="27:52" s="12" customFormat="1" x14ac:dyDescent="0.25"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27:52" s="12" customFormat="1" x14ac:dyDescent="0.25"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27:52" s="12" customFormat="1" x14ac:dyDescent="0.25"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</row>
    <row r="105" spans="27:52" s="12" customFormat="1" x14ac:dyDescent="0.25"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27:52" s="12" customFormat="1" x14ac:dyDescent="0.25"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27:52" s="12" customFormat="1" x14ac:dyDescent="0.25">
      <c r="AA107" s="25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</row>
    <row r="108" spans="27:52" s="12" customFormat="1" x14ac:dyDescent="0.25"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</row>
    <row r="109" spans="27:52" s="12" customFormat="1" x14ac:dyDescent="0.25"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</row>
    <row r="110" spans="27:52" s="12" customFormat="1" x14ac:dyDescent="0.25"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</row>
    <row r="111" spans="27:52" s="12" customFormat="1" x14ac:dyDescent="0.25"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</row>
    <row r="112" spans="27:52" s="12" customFormat="1" x14ac:dyDescent="0.25"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8:52" s="12" customFormat="1" x14ac:dyDescent="0.25"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</row>
    <row r="114" spans="28:52" s="12" customFormat="1" x14ac:dyDescent="0.25"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</row>
    <row r="115" spans="28:52" s="12" customFormat="1" x14ac:dyDescent="0.25"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</row>
    <row r="116" spans="28:52" s="12" customFormat="1" x14ac:dyDescent="0.25"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</row>
    <row r="117" spans="28:52" s="12" customFormat="1" x14ac:dyDescent="0.25"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</row>
    <row r="118" spans="28:52" s="12" customFormat="1" x14ac:dyDescent="0.25"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28:52" s="12" customFormat="1" x14ac:dyDescent="0.25"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28:52" s="12" customFormat="1" x14ac:dyDescent="0.25"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28:52" s="12" customFormat="1" x14ac:dyDescent="0.25"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28:52" s="12" customFormat="1" x14ac:dyDescent="0.25"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</row>
    <row r="123" spans="28:52" s="12" customFormat="1" x14ac:dyDescent="0.25"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</row>
    <row r="124" spans="28:52" s="12" customFormat="1" x14ac:dyDescent="0.25"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</row>
    <row r="125" spans="28:52" s="12" customFormat="1" x14ac:dyDescent="0.25"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</row>
    <row r="126" spans="28:52" s="12" customFormat="1" x14ac:dyDescent="0.25"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</row>
    <row r="127" spans="28:52" s="12" customFormat="1" x14ac:dyDescent="0.25"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</row>
    <row r="128" spans="28:52" s="12" customFormat="1" x14ac:dyDescent="0.25"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28:52" s="12" customFormat="1" x14ac:dyDescent="0.25"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</row>
    <row r="130" spans="28:52" s="12" customFormat="1" x14ac:dyDescent="0.25"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</row>
    <row r="131" spans="28:52" s="12" customFormat="1" x14ac:dyDescent="0.25"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</row>
    <row r="132" spans="28:52" s="12" customFormat="1" x14ac:dyDescent="0.25"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</row>
    <row r="133" spans="28:52" s="12" customFormat="1" x14ac:dyDescent="0.25"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</row>
    <row r="134" spans="28:52" s="12" customFormat="1" x14ac:dyDescent="0.25"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</row>
    <row r="135" spans="28:52" s="12" customFormat="1" x14ac:dyDescent="0.25"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</row>
    <row r="136" spans="28:52" s="12" customFormat="1" x14ac:dyDescent="0.25"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</row>
    <row r="137" spans="28:52" s="12" customFormat="1" x14ac:dyDescent="0.25"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</row>
    <row r="138" spans="28:52" s="12" customFormat="1" x14ac:dyDescent="0.25"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</row>
    <row r="139" spans="28:52" s="12" customFormat="1" x14ac:dyDescent="0.25"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</row>
    <row r="140" spans="28:52" s="12" customFormat="1" x14ac:dyDescent="0.25"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</row>
    <row r="141" spans="28:52" s="12" customFormat="1" x14ac:dyDescent="0.25"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</row>
    <row r="142" spans="28:52" s="12" customFormat="1" x14ac:dyDescent="0.25"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</row>
    <row r="143" spans="28:52" s="12" customFormat="1" x14ac:dyDescent="0.25"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</row>
    <row r="144" spans="28:52" s="12" customFormat="1" x14ac:dyDescent="0.25"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</row>
    <row r="145" spans="28:54" s="12" customFormat="1" x14ac:dyDescent="0.25"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</row>
    <row r="146" spans="28:54" s="12" customFormat="1" x14ac:dyDescent="0.25"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</row>
    <row r="147" spans="28:54" s="12" customFormat="1" x14ac:dyDescent="0.25"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</row>
    <row r="148" spans="28:54" s="12" customFormat="1" x14ac:dyDescent="0.25"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</row>
    <row r="149" spans="28:54" s="12" customFormat="1" x14ac:dyDescent="0.25"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</row>
    <row r="150" spans="28:54" s="12" customFormat="1" x14ac:dyDescent="0.25"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</row>
    <row r="151" spans="28:54" s="12" customFormat="1" x14ac:dyDescent="0.25"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</row>
    <row r="152" spans="28:54" s="12" customFormat="1" x14ac:dyDescent="0.25"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</row>
    <row r="153" spans="28:54" s="12" customFormat="1" x14ac:dyDescent="0.25"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</row>
    <row r="154" spans="28:54" s="12" customFormat="1" x14ac:dyDescent="0.25"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</row>
    <row r="155" spans="28:54" s="12" customFormat="1" x14ac:dyDescent="0.25"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</row>
    <row r="156" spans="28:54" s="12" customFormat="1" x14ac:dyDescent="0.25"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</row>
    <row r="157" spans="28:54" s="12" customFormat="1" x14ac:dyDescent="0.25"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</row>
    <row r="158" spans="28:54" s="12" customFormat="1" x14ac:dyDescent="0.25"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</row>
    <row r="159" spans="28:54" s="12" customFormat="1" x14ac:dyDescent="0.25"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</row>
    <row r="160" spans="28:54" s="12" customFormat="1" x14ac:dyDescent="0.25"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</row>
    <row r="161" spans="28:54" s="12" customFormat="1" x14ac:dyDescent="0.25"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</row>
    <row r="162" spans="28:54" s="12" customFormat="1" x14ac:dyDescent="0.25"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</row>
    <row r="163" spans="28:54" s="12" customFormat="1" x14ac:dyDescent="0.25"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</row>
    <row r="164" spans="28:54" s="12" customFormat="1" x14ac:dyDescent="0.25"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</row>
    <row r="165" spans="28:54" s="12" customFormat="1" x14ac:dyDescent="0.25"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</row>
    <row r="166" spans="28:54" s="12" customFormat="1" x14ac:dyDescent="0.25"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</row>
    <row r="167" spans="28:54" s="12" customFormat="1" x14ac:dyDescent="0.25"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</row>
    <row r="168" spans="28:54" s="12" customFormat="1" x14ac:dyDescent="0.25"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</row>
    <row r="169" spans="28:54" s="12" customFormat="1" x14ac:dyDescent="0.25"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</row>
    <row r="170" spans="28:54" s="12" customFormat="1" x14ac:dyDescent="0.25"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</row>
    <row r="171" spans="28:54" s="12" customFormat="1" x14ac:dyDescent="0.25"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</row>
    <row r="172" spans="28:54" s="12" customFormat="1" x14ac:dyDescent="0.25"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</row>
    <row r="173" spans="28:54" s="12" customFormat="1" x14ac:dyDescent="0.25"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</row>
    <row r="174" spans="28:54" s="12" customFormat="1" x14ac:dyDescent="0.25"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</row>
    <row r="175" spans="28:54" s="12" customFormat="1" x14ac:dyDescent="0.25"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</row>
    <row r="176" spans="28:54" s="12" customFormat="1" x14ac:dyDescent="0.25"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</row>
    <row r="177" spans="28:53" s="12" customFormat="1" x14ac:dyDescent="0.25"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</row>
    <row r="178" spans="28:53" s="12" customFormat="1" x14ac:dyDescent="0.25"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</row>
    <row r="179" spans="28:53" s="12" customFormat="1" x14ac:dyDescent="0.25"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</row>
    <row r="180" spans="28:53" s="12" customFormat="1" x14ac:dyDescent="0.25"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</row>
    <row r="181" spans="28:53" s="12" customFormat="1" x14ac:dyDescent="0.25"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</row>
    <row r="182" spans="28:53" s="12" customFormat="1" x14ac:dyDescent="0.25"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</row>
    <row r="183" spans="28:53" s="12" customFormat="1" x14ac:dyDescent="0.25"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</row>
    <row r="184" spans="28:53" s="12" customFormat="1" x14ac:dyDescent="0.25"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</row>
    <row r="185" spans="28:53" s="12" customFormat="1" x14ac:dyDescent="0.25"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</row>
    <row r="186" spans="28:53" s="12" customFormat="1" x14ac:dyDescent="0.25"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</row>
    <row r="187" spans="28:53" s="12" customFormat="1" x14ac:dyDescent="0.25"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</row>
    <row r="188" spans="28:53" s="12" customFormat="1" x14ac:dyDescent="0.25"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</row>
    <row r="189" spans="28:53" s="12" customFormat="1" x14ac:dyDescent="0.25"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</row>
    <row r="190" spans="28:53" s="12" customFormat="1" x14ac:dyDescent="0.25"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</row>
    <row r="191" spans="28:53" s="12" customFormat="1" x14ac:dyDescent="0.25"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</row>
    <row r="192" spans="28:53" s="12" customFormat="1" x14ac:dyDescent="0.25"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</row>
    <row r="193" spans="28:53" s="12" customFormat="1" x14ac:dyDescent="0.25"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</row>
    <row r="194" spans="28:53" s="12" customFormat="1" x14ac:dyDescent="0.25"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</row>
    <row r="195" spans="28:53" s="12" customFormat="1" x14ac:dyDescent="0.25"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</row>
    <row r="196" spans="28:53" s="12" customFormat="1" x14ac:dyDescent="0.25"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</row>
    <row r="197" spans="28:53" s="12" customFormat="1" x14ac:dyDescent="0.25"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</row>
    <row r="198" spans="28:53" s="12" customFormat="1" x14ac:dyDescent="0.25"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</row>
    <row r="199" spans="28:53" s="12" customFormat="1" x14ac:dyDescent="0.25"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</row>
    <row r="200" spans="28:53" s="12" customFormat="1" x14ac:dyDescent="0.25"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</row>
    <row r="201" spans="28:53" s="12" customFormat="1" x14ac:dyDescent="0.25"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</row>
    <row r="202" spans="28:53" s="12" customFormat="1" x14ac:dyDescent="0.25"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</row>
    <row r="203" spans="28:53" s="12" customFormat="1" x14ac:dyDescent="0.25"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</row>
    <row r="204" spans="28:53" s="12" customFormat="1" x14ac:dyDescent="0.25"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</row>
    <row r="205" spans="28:53" s="12" customFormat="1" x14ac:dyDescent="0.25"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</row>
    <row r="206" spans="28:53" s="12" customFormat="1" x14ac:dyDescent="0.25"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</row>
    <row r="207" spans="28:53" s="12" customFormat="1" x14ac:dyDescent="0.25"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</row>
    <row r="208" spans="28:53" s="12" customFormat="1" x14ac:dyDescent="0.25"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</row>
    <row r="209" spans="28:53" s="12" customFormat="1" x14ac:dyDescent="0.25"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</row>
    <row r="210" spans="28:53" s="12" customFormat="1" x14ac:dyDescent="0.25"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</row>
    <row r="211" spans="28:53" s="12" customFormat="1" x14ac:dyDescent="0.25"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</row>
    <row r="212" spans="28:53" s="12" customFormat="1" x14ac:dyDescent="0.25"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</row>
    <row r="213" spans="28:53" s="12" customFormat="1" x14ac:dyDescent="0.25"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</row>
    <row r="214" spans="28:53" s="12" customFormat="1" x14ac:dyDescent="0.25"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</row>
    <row r="215" spans="28:53" s="12" customFormat="1" x14ac:dyDescent="0.25"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</row>
    <row r="216" spans="28:53" s="12" customFormat="1" x14ac:dyDescent="0.25"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</row>
    <row r="217" spans="28:53" s="12" customFormat="1" x14ac:dyDescent="0.25"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</row>
    <row r="218" spans="28:53" s="12" customFormat="1" x14ac:dyDescent="0.25"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</row>
    <row r="219" spans="28:53" s="12" customFormat="1" x14ac:dyDescent="0.25"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</row>
    <row r="220" spans="28:53" s="12" customFormat="1" x14ac:dyDescent="0.25"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</row>
    <row r="221" spans="28:53" s="12" customFormat="1" x14ac:dyDescent="0.25"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</row>
    <row r="222" spans="28:53" s="12" customFormat="1" x14ac:dyDescent="0.25"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</row>
    <row r="223" spans="28:53" s="12" customFormat="1" x14ac:dyDescent="0.25"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</row>
    <row r="224" spans="28:53" s="12" customFormat="1" x14ac:dyDescent="0.25"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</row>
    <row r="225" spans="28:53" s="12" customFormat="1" x14ac:dyDescent="0.25"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</row>
    <row r="226" spans="28:53" s="12" customFormat="1" x14ac:dyDescent="0.25"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</row>
    <row r="227" spans="28:53" s="12" customFormat="1" x14ac:dyDescent="0.25"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</row>
    <row r="228" spans="28:53" s="12" customFormat="1" x14ac:dyDescent="0.25"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</row>
    <row r="229" spans="28:53" s="12" customFormat="1" x14ac:dyDescent="0.25"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</row>
    <row r="230" spans="28:53" s="12" customFormat="1" x14ac:dyDescent="0.25"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</row>
    <row r="231" spans="28:53" s="12" customFormat="1" x14ac:dyDescent="0.25"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</row>
    <row r="232" spans="28:53" s="12" customFormat="1" x14ac:dyDescent="0.25"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</row>
    <row r="233" spans="28:53" s="12" customFormat="1" x14ac:dyDescent="0.25"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</row>
    <row r="234" spans="28:53" s="12" customFormat="1" x14ac:dyDescent="0.25"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</row>
    <row r="235" spans="28:53" s="12" customFormat="1" x14ac:dyDescent="0.25"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</row>
    <row r="236" spans="28:53" s="12" customFormat="1" x14ac:dyDescent="0.25"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</row>
    <row r="237" spans="28:53" s="12" customFormat="1" x14ac:dyDescent="0.25"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</row>
    <row r="238" spans="28:53" s="12" customFormat="1" x14ac:dyDescent="0.25"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</row>
    <row r="239" spans="28:53" s="12" customFormat="1" x14ac:dyDescent="0.25"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</row>
    <row r="240" spans="28:53" s="12" customFormat="1" x14ac:dyDescent="0.25"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</row>
    <row r="241" spans="28:53" s="12" customFormat="1" x14ac:dyDescent="0.25"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</row>
    <row r="242" spans="28:53" s="12" customFormat="1" x14ac:dyDescent="0.25"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</row>
    <row r="243" spans="28:53" s="12" customFormat="1" x14ac:dyDescent="0.25"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</row>
    <row r="244" spans="28:53" s="12" customFormat="1" x14ac:dyDescent="0.25"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</row>
    <row r="245" spans="28:53" s="12" customFormat="1" x14ac:dyDescent="0.25"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</row>
    <row r="246" spans="28:53" s="12" customFormat="1" x14ac:dyDescent="0.25"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</row>
    <row r="247" spans="28:53" s="12" customFormat="1" x14ac:dyDescent="0.25"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</row>
    <row r="248" spans="28:53" s="12" customFormat="1" x14ac:dyDescent="0.25"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</row>
    <row r="249" spans="28:53" s="12" customFormat="1" x14ac:dyDescent="0.25"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</row>
    <row r="250" spans="28:53" s="12" customFormat="1" x14ac:dyDescent="0.25"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</row>
    <row r="251" spans="28:53" s="12" customFormat="1" x14ac:dyDescent="0.25"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</row>
    <row r="252" spans="28:53" s="12" customFormat="1" x14ac:dyDescent="0.25"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</row>
    <row r="253" spans="28:53" s="12" customFormat="1" x14ac:dyDescent="0.25"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</row>
    <row r="254" spans="28:53" s="12" customFormat="1" x14ac:dyDescent="0.25"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</row>
    <row r="255" spans="28:53" s="12" customFormat="1" x14ac:dyDescent="0.25"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</row>
    <row r="256" spans="28:53" s="12" customFormat="1" x14ac:dyDescent="0.25"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</row>
    <row r="257" spans="28:53" s="12" customFormat="1" x14ac:dyDescent="0.25"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</row>
    <row r="258" spans="28:53" s="12" customFormat="1" x14ac:dyDescent="0.25"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</row>
    <row r="259" spans="28:53" s="12" customFormat="1" x14ac:dyDescent="0.25"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</row>
    <row r="260" spans="28:53" s="12" customFormat="1" x14ac:dyDescent="0.25"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</row>
    <row r="261" spans="28:53" s="12" customFormat="1" x14ac:dyDescent="0.25"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</row>
    <row r="262" spans="28:53" s="12" customFormat="1" x14ac:dyDescent="0.25"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</row>
    <row r="263" spans="28:53" s="12" customFormat="1" x14ac:dyDescent="0.25"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</row>
    <row r="264" spans="28:53" s="12" customFormat="1" x14ac:dyDescent="0.25"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</row>
    <row r="265" spans="28:53" s="12" customFormat="1" x14ac:dyDescent="0.25"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</row>
    <row r="266" spans="28:53" s="12" customFormat="1" x14ac:dyDescent="0.25"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</row>
    <row r="267" spans="28:53" s="12" customFormat="1" x14ac:dyDescent="0.25"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</row>
    <row r="268" spans="28:53" s="12" customFormat="1" x14ac:dyDescent="0.25"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</row>
    <row r="269" spans="28:53" s="12" customFormat="1" x14ac:dyDescent="0.25"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</row>
    <row r="270" spans="28:53" s="12" customFormat="1" x14ac:dyDescent="0.25"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</row>
    <row r="271" spans="28:53" s="12" customFormat="1" x14ac:dyDescent="0.25"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</row>
    <row r="272" spans="28:53" s="12" customFormat="1" x14ac:dyDescent="0.25"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</row>
    <row r="273" spans="28:53" s="12" customFormat="1" x14ac:dyDescent="0.25"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</row>
    <row r="274" spans="28:53" s="12" customFormat="1" x14ac:dyDescent="0.25"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</row>
    <row r="275" spans="28:53" s="12" customFormat="1" x14ac:dyDescent="0.25"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</row>
    <row r="276" spans="28:53" s="12" customFormat="1" x14ac:dyDescent="0.25"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</row>
    <row r="277" spans="28:53" s="12" customFormat="1" x14ac:dyDescent="0.25"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</row>
    <row r="278" spans="28:53" s="12" customFormat="1" x14ac:dyDescent="0.25"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</row>
    <row r="279" spans="28:53" s="12" customFormat="1" x14ac:dyDescent="0.25"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</row>
    <row r="280" spans="28:53" s="12" customFormat="1" x14ac:dyDescent="0.25"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</row>
    <row r="281" spans="28:53" s="12" customFormat="1" x14ac:dyDescent="0.25"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</row>
    <row r="282" spans="28:53" s="12" customFormat="1" x14ac:dyDescent="0.25"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</row>
    <row r="283" spans="28:53" s="12" customFormat="1" x14ac:dyDescent="0.25"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</row>
    <row r="284" spans="28:53" s="12" customFormat="1" x14ac:dyDescent="0.25"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</row>
    <row r="285" spans="28:53" s="12" customFormat="1" x14ac:dyDescent="0.25"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</row>
    <row r="286" spans="28:53" s="12" customFormat="1" x14ac:dyDescent="0.25"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</row>
    <row r="287" spans="28:53" s="12" customFormat="1" x14ac:dyDescent="0.25"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</row>
    <row r="288" spans="28:53" s="12" customFormat="1" x14ac:dyDescent="0.25"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</row>
    <row r="289" spans="28:53" s="12" customFormat="1" x14ac:dyDescent="0.25"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</row>
    <row r="290" spans="28:53" s="12" customFormat="1" x14ac:dyDescent="0.25"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</row>
    <row r="291" spans="28:53" s="12" customFormat="1" x14ac:dyDescent="0.25"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</row>
    <row r="292" spans="28:53" s="12" customFormat="1" x14ac:dyDescent="0.25"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</row>
    <row r="293" spans="28:53" s="12" customFormat="1" x14ac:dyDescent="0.25"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</row>
    <row r="294" spans="28:53" s="12" customFormat="1" x14ac:dyDescent="0.25"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</row>
    <row r="295" spans="28:53" s="12" customFormat="1" x14ac:dyDescent="0.25"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</row>
    <row r="296" spans="28:53" s="12" customFormat="1" x14ac:dyDescent="0.25"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</row>
    <row r="297" spans="28:53" s="12" customFormat="1" x14ac:dyDescent="0.25"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</row>
    <row r="298" spans="28:53" s="12" customFormat="1" x14ac:dyDescent="0.25"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</row>
    <row r="299" spans="28:53" s="12" customFormat="1" x14ac:dyDescent="0.25"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</row>
    <row r="300" spans="28:53" s="12" customFormat="1" x14ac:dyDescent="0.25"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</row>
    <row r="301" spans="28:53" s="12" customFormat="1" x14ac:dyDescent="0.25"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</row>
    <row r="302" spans="28:53" s="12" customFormat="1" x14ac:dyDescent="0.25"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</row>
    <row r="303" spans="28:53" s="12" customFormat="1" x14ac:dyDescent="0.25"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</row>
    <row r="304" spans="28:53" s="12" customFormat="1" x14ac:dyDescent="0.25"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</row>
    <row r="305" spans="28:53" s="12" customFormat="1" x14ac:dyDescent="0.25"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</row>
    <row r="306" spans="28:53" s="12" customFormat="1" x14ac:dyDescent="0.25"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</row>
    <row r="307" spans="28:53" s="12" customFormat="1" x14ac:dyDescent="0.25"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</row>
    <row r="308" spans="28:53" s="12" customFormat="1" x14ac:dyDescent="0.25"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</row>
    <row r="309" spans="28:53" s="12" customFormat="1" x14ac:dyDescent="0.25"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</row>
    <row r="310" spans="28:53" s="12" customFormat="1" x14ac:dyDescent="0.25"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</row>
    <row r="311" spans="28:53" s="12" customFormat="1" x14ac:dyDescent="0.25"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</row>
    <row r="312" spans="28:53" s="12" customFormat="1" x14ac:dyDescent="0.25"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</row>
    <row r="313" spans="28:53" s="12" customFormat="1" x14ac:dyDescent="0.25"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</row>
    <row r="314" spans="28:53" s="12" customFormat="1" x14ac:dyDescent="0.25"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</row>
    <row r="315" spans="28:53" s="12" customFormat="1" x14ac:dyDescent="0.25"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</row>
    <row r="316" spans="28:53" s="12" customFormat="1" x14ac:dyDescent="0.25"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</row>
    <row r="317" spans="28:53" s="12" customFormat="1" x14ac:dyDescent="0.25"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</row>
    <row r="318" spans="28:53" s="12" customFormat="1" x14ac:dyDescent="0.25"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</row>
    <row r="319" spans="28:53" s="12" customFormat="1" x14ac:dyDescent="0.25"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</row>
    <row r="320" spans="28:53" s="12" customFormat="1" x14ac:dyDescent="0.25"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</row>
    <row r="321" spans="28:53" s="12" customFormat="1" x14ac:dyDescent="0.25"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</row>
    <row r="322" spans="28:53" s="12" customFormat="1" x14ac:dyDescent="0.25"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</row>
    <row r="323" spans="28:53" s="12" customFormat="1" x14ac:dyDescent="0.25"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</row>
    <row r="324" spans="28:53" s="12" customFormat="1" x14ac:dyDescent="0.25"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</row>
    <row r="325" spans="28:53" s="12" customFormat="1" x14ac:dyDescent="0.25"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</row>
    <row r="326" spans="28:53" s="12" customFormat="1" x14ac:dyDescent="0.25"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</row>
    <row r="327" spans="28:53" s="12" customFormat="1" x14ac:dyDescent="0.25"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</row>
    <row r="328" spans="28:53" s="12" customFormat="1" x14ac:dyDescent="0.25"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</row>
    <row r="329" spans="28:53" s="12" customFormat="1" x14ac:dyDescent="0.25"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</row>
    <row r="330" spans="28:53" s="12" customFormat="1" x14ac:dyDescent="0.25"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</row>
    <row r="331" spans="28:53" s="12" customFormat="1" x14ac:dyDescent="0.25"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</row>
    <row r="332" spans="28:53" s="12" customFormat="1" x14ac:dyDescent="0.25"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</row>
    <row r="333" spans="28:53" s="12" customFormat="1" x14ac:dyDescent="0.25"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</row>
    <row r="334" spans="28:53" s="12" customFormat="1" x14ac:dyDescent="0.25"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</row>
    <row r="335" spans="28:53" s="12" customFormat="1" x14ac:dyDescent="0.25"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</row>
    <row r="336" spans="28:53" s="12" customFormat="1" x14ac:dyDescent="0.25"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</row>
    <row r="337" spans="28:54" s="12" customFormat="1" x14ac:dyDescent="0.25"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</row>
    <row r="338" spans="28:54" s="12" customFormat="1" x14ac:dyDescent="0.25"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</row>
    <row r="339" spans="28:54" s="12" customFormat="1" x14ac:dyDescent="0.25"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</row>
    <row r="340" spans="28:54" s="12" customFormat="1" x14ac:dyDescent="0.25"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</row>
    <row r="341" spans="28:54" s="12" customFormat="1" x14ac:dyDescent="0.25"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</row>
    <row r="342" spans="28:54" s="12" customFormat="1" x14ac:dyDescent="0.25"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</row>
    <row r="343" spans="28:54" s="12" customFormat="1" x14ac:dyDescent="0.25"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</row>
    <row r="344" spans="28:54" s="12" customFormat="1" x14ac:dyDescent="0.25"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</row>
    <row r="345" spans="28:54" s="12" customFormat="1" x14ac:dyDescent="0.25"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</row>
    <row r="346" spans="28:54" s="12" customFormat="1" x14ac:dyDescent="0.25"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</row>
    <row r="347" spans="28:54" s="12" customFormat="1" x14ac:dyDescent="0.25"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</row>
    <row r="348" spans="28:54" s="12" customFormat="1" x14ac:dyDescent="0.25"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</row>
    <row r="349" spans="28:54" s="12" customFormat="1" x14ac:dyDescent="0.25"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</row>
    <row r="350" spans="28:54" s="12" customFormat="1" x14ac:dyDescent="0.25"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</row>
    <row r="351" spans="28:54" s="12" customFormat="1" x14ac:dyDescent="0.25"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</row>
    <row r="352" spans="28:54" s="12" customFormat="1" x14ac:dyDescent="0.25"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</row>
    <row r="353" spans="28:54" s="12" customFormat="1" x14ac:dyDescent="0.25"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</row>
    <row r="354" spans="28:54" s="12" customFormat="1" x14ac:dyDescent="0.25"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</row>
    <row r="355" spans="28:54" s="12" customFormat="1" x14ac:dyDescent="0.25"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</row>
    <row r="356" spans="28:54" s="12" customFormat="1" x14ac:dyDescent="0.25"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</row>
    <row r="357" spans="28:54" s="12" customFormat="1" x14ac:dyDescent="0.25"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</row>
    <row r="358" spans="28:54" s="12" customFormat="1" x14ac:dyDescent="0.25"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</row>
    <row r="359" spans="28:54" s="12" customFormat="1" x14ac:dyDescent="0.25"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</row>
    <row r="360" spans="28:54" s="12" customFormat="1" x14ac:dyDescent="0.25"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</row>
    <row r="361" spans="28:54" s="12" customFormat="1" x14ac:dyDescent="0.25"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</row>
    <row r="362" spans="28:54" s="12" customFormat="1" x14ac:dyDescent="0.25"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</row>
    <row r="363" spans="28:54" s="12" customFormat="1" x14ac:dyDescent="0.25"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</row>
    <row r="364" spans="28:54" s="12" customFormat="1" x14ac:dyDescent="0.25"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</row>
    <row r="365" spans="28:54" s="12" customFormat="1" x14ac:dyDescent="0.25"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</row>
    <row r="366" spans="28:54" s="12" customFormat="1" x14ac:dyDescent="0.25"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</row>
    <row r="367" spans="28:54" s="12" customFormat="1" x14ac:dyDescent="0.25"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</row>
    <row r="368" spans="28:54" s="12" customFormat="1" x14ac:dyDescent="0.25"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</row>
    <row r="369" spans="28:54" s="12" customFormat="1" x14ac:dyDescent="0.25"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</row>
    <row r="370" spans="28:54" s="12" customFormat="1" x14ac:dyDescent="0.25"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</row>
    <row r="371" spans="28:54" s="12" customFormat="1" x14ac:dyDescent="0.25"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</row>
    <row r="372" spans="28:54" s="12" customFormat="1" x14ac:dyDescent="0.25"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</row>
    <row r="373" spans="28:54" s="12" customFormat="1" x14ac:dyDescent="0.25"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</row>
    <row r="374" spans="28:54" s="12" customFormat="1" x14ac:dyDescent="0.25"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</row>
    <row r="375" spans="28:54" s="12" customFormat="1" x14ac:dyDescent="0.25"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</row>
    <row r="376" spans="28:54" s="12" customFormat="1" x14ac:dyDescent="0.25"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</row>
    <row r="377" spans="28:54" s="12" customFormat="1" x14ac:dyDescent="0.25"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</row>
    <row r="378" spans="28:54" s="12" customFormat="1" x14ac:dyDescent="0.25"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</row>
    <row r="379" spans="28:54" s="12" customFormat="1" x14ac:dyDescent="0.25"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</row>
    <row r="380" spans="28:54" s="12" customFormat="1" x14ac:dyDescent="0.25"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</row>
    <row r="381" spans="28:54" s="12" customFormat="1" x14ac:dyDescent="0.25"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</row>
    <row r="382" spans="28:54" s="12" customFormat="1" x14ac:dyDescent="0.25"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</row>
    <row r="383" spans="28:54" s="12" customFormat="1" x14ac:dyDescent="0.25"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</row>
    <row r="384" spans="28:54" s="12" customFormat="1" x14ac:dyDescent="0.25"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</row>
    <row r="385" spans="28:54" s="12" customFormat="1" x14ac:dyDescent="0.25"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</row>
    <row r="386" spans="28:54" s="12" customFormat="1" x14ac:dyDescent="0.25"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</row>
    <row r="387" spans="28:54" s="12" customFormat="1" x14ac:dyDescent="0.25"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</row>
    <row r="388" spans="28:54" s="12" customFormat="1" x14ac:dyDescent="0.25"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</row>
    <row r="389" spans="28:54" s="12" customFormat="1" x14ac:dyDescent="0.25"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</row>
    <row r="390" spans="28:54" s="12" customFormat="1" x14ac:dyDescent="0.25"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</row>
    <row r="391" spans="28:54" s="12" customFormat="1" x14ac:dyDescent="0.25"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</row>
    <row r="392" spans="28:54" s="12" customFormat="1" x14ac:dyDescent="0.25"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</row>
    <row r="393" spans="28:54" s="12" customFormat="1" x14ac:dyDescent="0.25"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</row>
    <row r="394" spans="28:54" s="12" customFormat="1" x14ac:dyDescent="0.25"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</row>
    <row r="395" spans="28:54" s="12" customFormat="1" x14ac:dyDescent="0.25"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</row>
    <row r="396" spans="28:54" s="12" customFormat="1" x14ac:dyDescent="0.25"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</row>
    <row r="397" spans="28:54" s="12" customFormat="1" x14ac:dyDescent="0.25"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</row>
    <row r="398" spans="28:54" s="12" customFormat="1" x14ac:dyDescent="0.25"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</row>
    <row r="399" spans="28:54" s="12" customFormat="1" x14ac:dyDescent="0.25"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</row>
    <row r="400" spans="28:54" s="12" customFormat="1" x14ac:dyDescent="0.25"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</row>
    <row r="401" spans="28:54" s="12" customFormat="1" x14ac:dyDescent="0.25"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</row>
    <row r="402" spans="28:54" s="12" customFormat="1" x14ac:dyDescent="0.25"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</row>
    <row r="403" spans="28:54" s="12" customFormat="1" x14ac:dyDescent="0.25"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</row>
    <row r="404" spans="28:54" s="12" customFormat="1" x14ac:dyDescent="0.25"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</row>
    <row r="405" spans="28:54" s="12" customFormat="1" x14ac:dyDescent="0.25"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</row>
    <row r="406" spans="28:54" s="12" customFormat="1" x14ac:dyDescent="0.25"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</row>
    <row r="407" spans="28:54" s="12" customFormat="1" x14ac:dyDescent="0.25"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</row>
    <row r="408" spans="28:54" s="12" customFormat="1" x14ac:dyDescent="0.25"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</row>
    <row r="409" spans="28:54" s="12" customFormat="1" x14ac:dyDescent="0.25"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</row>
    <row r="410" spans="28:54" s="12" customFormat="1" x14ac:dyDescent="0.25"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</row>
    <row r="411" spans="28:54" s="12" customFormat="1" x14ac:dyDescent="0.25"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</row>
    <row r="412" spans="28:54" s="12" customFormat="1" x14ac:dyDescent="0.25"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</row>
    <row r="413" spans="28:54" s="12" customFormat="1" x14ac:dyDescent="0.25"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</row>
    <row r="414" spans="28:54" s="12" customFormat="1" x14ac:dyDescent="0.25"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</row>
    <row r="415" spans="28:54" s="12" customFormat="1" x14ac:dyDescent="0.25"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</row>
    <row r="416" spans="28:54" s="12" customFormat="1" x14ac:dyDescent="0.25"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</row>
    <row r="417" spans="28:54" s="12" customFormat="1" x14ac:dyDescent="0.25"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</row>
    <row r="418" spans="28:54" s="12" customFormat="1" x14ac:dyDescent="0.25"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</row>
    <row r="419" spans="28:54" s="12" customFormat="1" x14ac:dyDescent="0.25"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</row>
    <row r="420" spans="28:54" s="12" customFormat="1" x14ac:dyDescent="0.25"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</row>
    <row r="421" spans="28:54" s="12" customFormat="1" x14ac:dyDescent="0.25"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</row>
    <row r="422" spans="28:54" s="12" customFormat="1" x14ac:dyDescent="0.25"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</row>
    <row r="423" spans="28:54" s="12" customFormat="1" x14ac:dyDescent="0.25"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</row>
    <row r="424" spans="28:54" s="12" customFormat="1" x14ac:dyDescent="0.25"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</row>
    <row r="425" spans="28:54" s="12" customFormat="1" x14ac:dyDescent="0.25"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</row>
    <row r="426" spans="28:54" s="12" customFormat="1" x14ac:dyDescent="0.25"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</row>
    <row r="427" spans="28:54" s="12" customFormat="1" x14ac:dyDescent="0.25"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</row>
    <row r="428" spans="28:54" s="12" customFormat="1" x14ac:dyDescent="0.25"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</row>
    <row r="429" spans="28:54" s="12" customFormat="1" x14ac:dyDescent="0.25"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</row>
    <row r="430" spans="28:54" s="12" customFormat="1" x14ac:dyDescent="0.25"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</row>
    <row r="431" spans="28:54" s="12" customFormat="1" x14ac:dyDescent="0.25"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</row>
    <row r="432" spans="28:54" s="12" customFormat="1" x14ac:dyDescent="0.25"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</row>
    <row r="433" spans="28:54" s="12" customFormat="1" x14ac:dyDescent="0.25"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</row>
    <row r="434" spans="28:54" s="12" customFormat="1" x14ac:dyDescent="0.25"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</row>
    <row r="435" spans="28:54" s="12" customFormat="1" x14ac:dyDescent="0.25"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</row>
    <row r="436" spans="28:54" s="12" customFormat="1" x14ac:dyDescent="0.25"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</row>
    <row r="437" spans="28:54" s="12" customFormat="1" x14ac:dyDescent="0.25"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</row>
    <row r="438" spans="28:54" s="12" customFormat="1" x14ac:dyDescent="0.25"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</row>
    <row r="439" spans="28:54" s="12" customFormat="1" x14ac:dyDescent="0.25"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</row>
    <row r="440" spans="28:54" s="12" customFormat="1" x14ac:dyDescent="0.25"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</row>
    <row r="441" spans="28:54" s="12" customFormat="1" x14ac:dyDescent="0.25"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</row>
    <row r="442" spans="28:54" s="12" customFormat="1" x14ac:dyDescent="0.25"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</row>
    <row r="443" spans="28:54" s="12" customFormat="1" x14ac:dyDescent="0.25"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</row>
    <row r="444" spans="28:54" s="12" customFormat="1" x14ac:dyDescent="0.25"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</row>
    <row r="445" spans="28:54" s="12" customFormat="1" x14ac:dyDescent="0.25"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</row>
    <row r="446" spans="28:54" s="12" customFormat="1" x14ac:dyDescent="0.25"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</row>
    <row r="447" spans="28:54" s="12" customFormat="1" x14ac:dyDescent="0.25"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</row>
    <row r="448" spans="28:54" s="12" customFormat="1" x14ac:dyDescent="0.25"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</row>
    <row r="449" spans="28:54" s="12" customFormat="1" x14ac:dyDescent="0.25"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</row>
    <row r="450" spans="28:54" s="12" customFormat="1" x14ac:dyDescent="0.25"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</row>
    <row r="451" spans="28:54" s="12" customFormat="1" x14ac:dyDescent="0.25"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</row>
    <row r="452" spans="28:54" s="12" customFormat="1" x14ac:dyDescent="0.25"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</row>
    <row r="453" spans="28:54" s="12" customFormat="1" x14ac:dyDescent="0.25"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</row>
    <row r="454" spans="28:54" s="12" customFormat="1" x14ac:dyDescent="0.25"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</row>
    <row r="455" spans="28:54" s="12" customFormat="1" x14ac:dyDescent="0.25"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</row>
    <row r="456" spans="28:54" s="12" customFormat="1" x14ac:dyDescent="0.25"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</row>
    <row r="457" spans="28:54" s="12" customFormat="1" x14ac:dyDescent="0.25"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</row>
    <row r="458" spans="28:54" s="12" customFormat="1" x14ac:dyDescent="0.25"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</row>
    <row r="459" spans="28:54" s="12" customFormat="1" x14ac:dyDescent="0.25"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</row>
    <row r="460" spans="28:54" s="12" customFormat="1" x14ac:dyDescent="0.25"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</row>
    <row r="461" spans="28:54" s="12" customFormat="1" x14ac:dyDescent="0.25"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</row>
    <row r="462" spans="28:54" s="12" customFormat="1" x14ac:dyDescent="0.25"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</row>
    <row r="463" spans="28:54" s="12" customFormat="1" x14ac:dyDescent="0.25"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</row>
    <row r="464" spans="28:54" s="12" customFormat="1" x14ac:dyDescent="0.25"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</row>
    <row r="465" spans="28:54" s="12" customFormat="1" x14ac:dyDescent="0.25"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</row>
    <row r="466" spans="28:54" s="12" customFormat="1" x14ac:dyDescent="0.25"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</row>
    <row r="467" spans="28:54" s="12" customFormat="1" x14ac:dyDescent="0.25"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</row>
    <row r="468" spans="28:54" s="12" customFormat="1" x14ac:dyDescent="0.25"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</row>
    <row r="469" spans="28:54" s="12" customFormat="1" x14ac:dyDescent="0.25"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</row>
    <row r="470" spans="28:54" s="12" customFormat="1" x14ac:dyDescent="0.25"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</row>
    <row r="471" spans="28:54" s="12" customFormat="1" x14ac:dyDescent="0.25"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</row>
    <row r="472" spans="28:54" s="12" customFormat="1" x14ac:dyDescent="0.25"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</row>
    <row r="473" spans="28:54" s="12" customFormat="1" x14ac:dyDescent="0.25"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</row>
    <row r="474" spans="28:54" s="12" customFormat="1" x14ac:dyDescent="0.25"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</row>
    <row r="475" spans="28:54" s="12" customFormat="1" x14ac:dyDescent="0.25"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</row>
    <row r="476" spans="28:54" s="12" customFormat="1" x14ac:dyDescent="0.25"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</row>
    <row r="477" spans="28:54" s="12" customFormat="1" x14ac:dyDescent="0.25"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</row>
    <row r="478" spans="28:54" s="12" customFormat="1" x14ac:dyDescent="0.25"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</row>
    <row r="479" spans="28:54" s="12" customFormat="1" x14ac:dyDescent="0.25"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</row>
    <row r="480" spans="28:54" s="12" customFormat="1" x14ac:dyDescent="0.25"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</row>
    <row r="481" spans="28:54" s="12" customFormat="1" x14ac:dyDescent="0.25"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</row>
    <row r="482" spans="28:54" s="12" customFormat="1" x14ac:dyDescent="0.25"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</row>
    <row r="483" spans="28:54" s="12" customFormat="1" x14ac:dyDescent="0.25"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</row>
    <row r="484" spans="28:54" s="12" customFormat="1" x14ac:dyDescent="0.25"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</row>
    <row r="485" spans="28:54" s="12" customFormat="1" x14ac:dyDescent="0.25"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</row>
    <row r="486" spans="28:54" s="12" customFormat="1" x14ac:dyDescent="0.25"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</row>
    <row r="487" spans="28:54" s="12" customFormat="1" x14ac:dyDescent="0.25"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</row>
    <row r="488" spans="28:54" s="12" customFormat="1" x14ac:dyDescent="0.25"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</row>
    <row r="489" spans="28:54" s="12" customFormat="1" x14ac:dyDescent="0.25"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</row>
    <row r="490" spans="28:54" s="12" customFormat="1" x14ac:dyDescent="0.25"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</row>
    <row r="491" spans="28:54" s="12" customFormat="1" x14ac:dyDescent="0.25"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</row>
    <row r="492" spans="28:54" s="12" customFormat="1" x14ac:dyDescent="0.25"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</row>
    <row r="493" spans="28:54" s="12" customFormat="1" x14ac:dyDescent="0.25"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</row>
    <row r="494" spans="28:54" s="12" customFormat="1" x14ac:dyDescent="0.25"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</row>
    <row r="495" spans="28:54" s="12" customFormat="1" x14ac:dyDescent="0.25"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</row>
    <row r="496" spans="28:54" s="12" customFormat="1" x14ac:dyDescent="0.25"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</row>
    <row r="497" spans="28:54" s="12" customFormat="1" x14ac:dyDescent="0.25"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</row>
    <row r="498" spans="28:54" s="12" customFormat="1" x14ac:dyDescent="0.25"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</row>
    <row r="499" spans="28:54" s="12" customFormat="1" x14ac:dyDescent="0.25"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</row>
    <row r="500" spans="28:54" s="12" customFormat="1" x14ac:dyDescent="0.25"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</row>
    <row r="501" spans="28:54" s="12" customFormat="1" x14ac:dyDescent="0.25"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</row>
    <row r="502" spans="28:54" s="12" customFormat="1" x14ac:dyDescent="0.25"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</row>
    <row r="503" spans="28:54" s="12" customFormat="1" x14ac:dyDescent="0.25"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</row>
    <row r="504" spans="28:54" s="12" customFormat="1" x14ac:dyDescent="0.25"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</row>
    <row r="505" spans="28:54" s="12" customFormat="1" x14ac:dyDescent="0.25"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</row>
    <row r="506" spans="28:54" s="12" customFormat="1" x14ac:dyDescent="0.25"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</row>
    <row r="507" spans="28:54" s="12" customFormat="1" x14ac:dyDescent="0.25"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</row>
    <row r="508" spans="28:54" s="12" customFormat="1" x14ac:dyDescent="0.25"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</row>
    <row r="509" spans="28:54" s="12" customFormat="1" x14ac:dyDescent="0.25"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</row>
    <row r="510" spans="28:54" s="12" customFormat="1" x14ac:dyDescent="0.25"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</row>
    <row r="511" spans="28:54" s="12" customFormat="1" x14ac:dyDescent="0.25"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</row>
    <row r="512" spans="28:54" s="12" customFormat="1" x14ac:dyDescent="0.25"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</row>
    <row r="513" spans="28:54" s="12" customFormat="1" x14ac:dyDescent="0.25"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</row>
    <row r="514" spans="28:54" s="12" customFormat="1" x14ac:dyDescent="0.25"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</row>
    <row r="515" spans="28:54" s="12" customFormat="1" x14ac:dyDescent="0.25"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</row>
    <row r="516" spans="28:54" s="12" customFormat="1" x14ac:dyDescent="0.25"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</row>
    <row r="517" spans="28:54" s="12" customFormat="1" x14ac:dyDescent="0.25"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</row>
    <row r="518" spans="28:54" s="12" customFormat="1" x14ac:dyDescent="0.25"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</row>
    <row r="519" spans="28:54" s="12" customFormat="1" x14ac:dyDescent="0.25"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</row>
    <row r="520" spans="28:54" s="12" customFormat="1" x14ac:dyDescent="0.25"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</row>
    <row r="521" spans="28:54" s="12" customFormat="1" x14ac:dyDescent="0.25"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</row>
    <row r="522" spans="28:54" s="12" customFormat="1" x14ac:dyDescent="0.25"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</row>
    <row r="523" spans="28:54" s="12" customFormat="1" x14ac:dyDescent="0.25"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</row>
    <row r="524" spans="28:54" s="12" customFormat="1" x14ac:dyDescent="0.25"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</row>
    <row r="525" spans="28:54" s="12" customFormat="1" x14ac:dyDescent="0.25"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</row>
    <row r="526" spans="28:54" s="12" customFormat="1" x14ac:dyDescent="0.25"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</row>
    <row r="527" spans="28:54" s="12" customFormat="1" x14ac:dyDescent="0.25"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</row>
    <row r="528" spans="28:54" s="12" customFormat="1" x14ac:dyDescent="0.25"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</row>
    <row r="529" spans="28:54" s="12" customFormat="1" x14ac:dyDescent="0.25"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</row>
    <row r="530" spans="28:54" s="12" customFormat="1" x14ac:dyDescent="0.25"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</row>
    <row r="531" spans="28:54" s="12" customFormat="1" x14ac:dyDescent="0.25"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</row>
    <row r="532" spans="28:54" s="12" customFormat="1" x14ac:dyDescent="0.25"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</row>
    <row r="533" spans="28:54" s="12" customFormat="1" x14ac:dyDescent="0.25"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</row>
    <row r="534" spans="28:54" s="12" customFormat="1" x14ac:dyDescent="0.25"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</row>
    <row r="535" spans="28:54" s="12" customFormat="1" x14ac:dyDescent="0.25"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</row>
    <row r="536" spans="28:54" s="12" customFormat="1" x14ac:dyDescent="0.25"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</row>
    <row r="537" spans="28:54" s="12" customFormat="1" x14ac:dyDescent="0.25"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</row>
    <row r="538" spans="28:54" s="12" customFormat="1" x14ac:dyDescent="0.25"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</row>
    <row r="539" spans="28:54" s="12" customFormat="1" x14ac:dyDescent="0.25"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</row>
    <row r="540" spans="28:54" s="12" customFormat="1" x14ac:dyDescent="0.25"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</row>
    <row r="541" spans="28:54" s="12" customFormat="1" x14ac:dyDescent="0.25"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</row>
    <row r="542" spans="28:54" s="12" customFormat="1" x14ac:dyDescent="0.25"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</row>
    <row r="543" spans="28:54" s="12" customFormat="1" x14ac:dyDescent="0.25"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</row>
    <row r="544" spans="28:54" s="12" customFormat="1" x14ac:dyDescent="0.25"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</row>
    <row r="545" spans="28:54" s="12" customFormat="1" x14ac:dyDescent="0.25"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</row>
    <row r="546" spans="28:54" s="12" customFormat="1" x14ac:dyDescent="0.25"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</row>
    <row r="547" spans="28:54" s="12" customFormat="1" x14ac:dyDescent="0.25"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</row>
    <row r="548" spans="28:54" s="12" customFormat="1" x14ac:dyDescent="0.25"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</row>
    <row r="549" spans="28:54" s="12" customFormat="1" x14ac:dyDescent="0.25"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</row>
    <row r="550" spans="28:54" s="12" customFormat="1" x14ac:dyDescent="0.25"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</row>
    <row r="551" spans="28:54" s="12" customFormat="1" x14ac:dyDescent="0.25"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</row>
    <row r="552" spans="28:54" s="12" customFormat="1" x14ac:dyDescent="0.25"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</row>
    <row r="553" spans="28:54" s="12" customFormat="1" x14ac:dyDescent="0.25"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</row>
    <row r="554" spans="28:54" s="12" customFormat="1" x14ac:dyDescent="0.25"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</row>
    <row r="555" spans="28:54" s="12" customFormat="1" x14ac:dyDescent="0.25"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</row>
    <row r="556" spans="28:54" s="12" customFormat="1" x14ac:dyDescent="0.25"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</row>
    <row r="557" spans="28:54" s="12" customFormat="1" x14ac:dyDescent="0.25"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</row>
    <row r="558" spans="28:54" s="12" customFormat="1" x14ac:dyDescent="0.25"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</row>
    <row r="559" spans="28:54" s="12" customFormat="1" x14ac:dyDescent="0.25"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</row>
    <row r="560" spans="28:54" s="12" customFormat="1" x14ac:dyDescent="0.25"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</row>
    <row r="561" spans="28:54" s="12" customFormat="1" x14ac:dyDescent="0.25"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</row>
    <row r="562" spans="28:54" s="12" customFormat="1" x14ac:dyDescent="0.25"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</row>
    <row r="563" spans="28:54" s="12" customFormat="1" x14ac:dyDescent="0.25"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</row>
    <row r="564" spans="28:54" s="12" customFormat="1" x14ac:dyDescent="0.25"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</row>
    <row r="565" spans="28:54" s="12" customFormat="1" x14ac:dyDescent="0.25"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</row>
    <row r="566" spans="28:54" s="12" customFormat="1" x14ac:dyDescent="0.25"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</row>
    <row r="567" spans="28:54" s="12" customFormat="1" x14ac:dyDescent="0.25"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</row>
    <row r="568" spans="28:54" s="12" customFormat="1" x14ac:dyDescent="0.25"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</row>
    <row r="569" spans="28:54" s="12" customFormat="1" x14ac:dyDescent="0.25"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</row>
    <row r="570" spans="28:54" s="12" customFormat="1" x14ac:dyDescent="0.25"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</row>
    <row r="571" spans="28:54" s="12" customFormat="1" x14ac:dyDescent="0.25"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</row>
    <row r="572" spans="28:54" s="12" customFormat="1" x14ac:dyDescent="0.25"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</row>
    <row r="573" spans="28:54" s="12" customFormat="1" x14ac:dyDescent="0.25"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</row>
    <row r="574" spans="28:54" s="12" customFormat="1" x14ac:dyDescent="0.25"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</row>
    <row r="575" spans="28:54" s="12" customFormat="1" x14ac:dyDescent="0.25"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</row>
    <row r="576" spans="28:54" s="12" customFormat="1" x14ac:dyDescent="0.25"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</row>
    <row r="577" spans="28:54" s="12" customFormat="1" x14ac:dyDescent="0.25"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</row>
    <row r="578" spans="28:54" s="12" customFormat="1" x14ac:dyDescent="0.25"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</row>
    <row r="579" spans="28:54" s="12" customFormat="1" x14ac:dyDescent="0.25"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</row>
    <row r="580" spans="28:54" s="12" customFormat="1" x14ac:dyDescent="0.25"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</row>
    <row r="581" spans="28:54" s="12" customFormat="1" x14ac:dyDescent="0.25"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</row>
    <row r="582" spans="28:54" s="12" customFormat="1" x14ac:dyDescent="0.25"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</row>
    <row r="583" spans="28:54" s="12" customFormat="1" x14ac:dyDescent="0.25"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</row>
    <row r="584" spans="28:54" s="12" customFormat="1" x14ac:dyDescent="0.25"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</row>
    <row r="585" spans="28:54" s="12" customFormat="1" x14ac:dyDescent="0.25"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</row>
    <row r="586" spans="28:54" s="12" customFormat="1" x14ac:dyDescent="0.25"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</row>
    <row r="587" spans="28:54" s="12" customFormat="1" x14ac:dyDescent="0.25"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</row>
    <row r="588" spans="28:54" s="12" customFormat="1" x14ac:dyDescent="0.25"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</row>
    <row r="589" spans="28:54" s="12" customFormat="1" x14ac:dyDescent="0.25"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</row>
    <row r="590" spans="28:54" s="12" customFormat="1" x14ac:dyDescent="0.25"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</row>
    <row r="591" spans="28:54" s="12" customFormat="1" x14ac:dyDescent="0.25"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</row>
    <row r="592" spans="28:54" s="12" customFormat="1" x14ac:dyDescent="0.25"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</row>
    <row r="593" spans="28:54" s="12" customFormat="1" x14ac:dyDescent="0.25"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</row>
    <row r="594" spans="28:54" s="12" customFormat="1" x14ac:dyDescent="0.25"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</row>
    <row r="595" spans="28:54" s="12" customFormat="1" x14ac:dyDescent="0.25"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</row>
    <row r="596" spans="28:54" s="12" customFormat="1" x14ac:dyDescent="0.25"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</row>
    <row r="597" spans="28:54" s="12" customFormat="1" x14ac:dyDescent="0.25"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</row>
    <row r="598" spans="28:54" s="12" customFormat="1" x14ac:dyDescent="0.25"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</row>
    <row r="599" spans="28:54" s="12" customFormat="1" x14ac:dyDescent="0.25"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</row>
    <row r="600" spans="28:54" s="12" customFormat="1" x14ac:dyDescent="0.25"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</row>
    <row r="601" spans="28:54" s="12" customFormat="1" x14ac:dyDescent="0.25"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</row>
    <row r="602" spans="28:54" s="12" customFormat="1" x14ac:dyDescent="0.25"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</row>
    <row r="603" spans="28:54" s="12" customFormat="1" x14ac:dyDescent="0.25"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</row>
    <row r="604" spans="28:54" s="12" customFormat="1" x14ac:dyDescent="0.25"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</row>
    <row r="605" spans="28:54" s="12" customFormat="1" x14ac:dyDescent="0.25"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</row>
    <row r="606" spans="28:54" s="12" customFormat="1" x14ac:dyDescent="0.25"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</row>
    <row r="607" spans="28:54" s="12" customFormat="1" x14ac:dyDescent="0.25"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</row>
    <row r="608" spans="28:54" s="12" customFormat="1" x14ac:dyDescent="0.25"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</row>
    <row r="609" spans="28:54" s="12" customFormat="1" x14ac:dyDescent="0.25"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</row>
    <row r="610" spans="28:54" s="12" customFormat="1" x14ac:dyDescent="0.25"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</row>
    <row r="611" spans="28:54" s="12" customFormat="1" x14ac:dyDescent="0.25"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</row>
    <row r="612" spans="28:54" s="12" customFormat="1" x14ac:dyDescent="0.25"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</row>
    <row r="613" spans="28:54" s="12" customFormat="1" x14ac:dyDescent="0.25"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</row>
    <row r="614" spans="28:54" s="12" customFormat="1" x14ac:dyDescent="0.25"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</row>
    <row r="615" spans="28:54" s="12" customFormat="1" x14ac:dyDescent="0.25"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</row>
    <row r="616" spans="28:54" s="12" customFormat="1" x14ac:dyDescent="0.25"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</row>
    <row r="617" spans="28:54" s="12" customFormat="1" x14ac:dyDescent="0.25"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</row>
    <row r="618" spans="28:54" s="12" customFormat="1" x14ac:dyDescent="0.25"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</row>
    <row r="619" spans="28:54" s="12" customFormat="1" x14ac:dyDescent="0.25"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</row>
    <row r="620" spans="28:54" s="12" customFormat="1" x14ac:dyDescent="0.25"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</row>
    <row r="621" spans="28:54" s="12" customFormat="1" x14ac:dyDescent="0.25"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</row>
    <row r="622" spans="28:54" s="12" customFormat="1" x14ac:dyDescent="0.25"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</row>
    <row r="623" spans="28:54" s="12" customFormat="1" x14ac:dyDescent="0.25"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</row>
    <row r="624" spans="28:54" s="12" customFormat="1" x14ac:dyDescent="0.25"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</row>
    <row r="625" spans="28:54" s="12" customFormat="1" x14ac:dyDescent="0.25"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</row>
    <row r="626" spans="28:54" s="12" customFormat="1" x14ac:dyDescent="0.25"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</row>
    <row r="627" spans="28:54" s="12" customFormat="1" x14ac:dyDescent="0.25"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</row>
    <row r="628" spans="28:54" s="12" customFormat="1" x14ac:dyDescent="0.25"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</row>
    <row r="629" spans="28:54" s="12" customFormat="1" x14ac:dyDescent="0.25"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</row>
    <row r="630" spans="28:54" s="12" customFormat="1" x14ac:dyDescent="0.25"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</row>
    <row r="631" spans="28:54" s="12" customFormat="1" x14ac:dyDescent="0.25"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</row>
    <row r="632" spans="28:54" s="12" customFormat="1" x14ac:dyDescent="0.25"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</row>
    <row r="633" spans="28:54" s="12" customFormat="1" x14ac:dyDescent="0.25"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</row>
    <row r="634" spans="28:54" s="12" customFormat="1" x14ac:dyDescent="0.25"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</row>
    <row r="635" spans="28:54" s="12" customFormat="1" x14ac:dyDescent="0.25"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</row>
    <row r="636" spans="28:54" s="12" customFormat="1" x14ac:dyDescent="0.25"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</row>
    <row r="637" spans="28:54" s="12" customFormat="1" x14ac:dyDescent="0.25"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</row>
    <row r="638" spans="28:54" s="12" customFormat="1" x14ac:dyDescent="0.25"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</row>
    <row r="639" spans="28:54" s="12" customFormat="1" x14ac:dyDescent="0.25"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</row>
    <row r="640" spans="28:54" s="12" customFormat="1" x14ac:dyDescent="0.25"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</row>
    <row r="641" spans="28:54" s="12" customFormat="1" x14ac:dyDescent="0.25"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</row>
    <row r="642" spans="28:54" s="12" customFormat="1" x14ac:dyDescent="0.25"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</row>
    <row r="643" spans="28:54" s="12" customFormat="1" x14ac:dyDescent="0.25"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</row>
    <row r="644" spans="28:54" s="12" customFormat="1" x14ac:dyDescent="0.25"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</row>
    <row r="645" spans="28:54" s="12" customFormat="1" x14ac:dyDescent="0.25"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</row>
    <row r="646" spans="28:54" s="12" customFormat="1" x14ac:dyDescent="0.25"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</row>
    <row r="647" spans="28:54" s="12" customFormat="1" x14ac:dyDescent="0.25"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</row>
    <row r="648" spans="28:54" s="12" customFormat="1" x14ac:dyDescent="0.25"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</row>
    <row r="649" spans="28:54" s="12" customFormat="1" x14ac:dyDescent="0.25"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</row>
    <row r="650" spans="28:54" s="12" customFormat="1" x14ac:dyDescent="0.25"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</row>
    <row r="651" spans="28:54" s="12" customFormat="1" x14ac:dyDescent="0.25"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</row>
    <row r="652" spans="28:54" s="12" customFormat="1" x14ac:dyDescent="0.25"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</row>
    <row r="653" spans="28:54" s="12" customFormat="1" x14ac:dyDescent="0.25"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</row>
    <row r="654" spans="28:54" s="12" customFormat="1" x14ac:dyDescent="0.25"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</row>
    <row r="655" spans="28:54" s="12" customFormat="1" x14ac:dyDescent="0.25"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</row>
    <row r="656" spans="28:54" s="12" customFormat="1" x14ac:dyDescent="0.25"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</row>
    <row r="657" spans="28:54" s="12" customFormat="1" x14ac:dyDescent="0.25"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</row>
    <row r="658" spans="28:54" s="12" customFormat="1" x14ac:dyDescent="0.25"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</row>
    <row r="659" spans="28:54" s="12" customFormat="1" x14ac:dyDescent="0.25"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</row>
    <row r="660" spans="28:54" s="12" customFormat="1" x14ac:dyDescent="0.25"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</row>
    <row r="661" spans="28:54" s="12" customFormat="1" x14ac:dyDescent="0.25"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</row>
    <row r="662" spans="28:54" s="12" customFormat="1" x14ac:dyDescent="0.25"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</row>
    <row r="663" spans="28:54" s="12" customFormat="1" x14ac:dyDescent="0.25"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</row>
    <row r="664" spans="28:54" s="12" customFormat="1" x14ac:dyDescent="0.25"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</row>
    <row r="665" spans="28:54" s="12" customFormat="1" x14ac:dyDescent="0.25"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</row>
    <row r="666" spans="28:54" s="12" customFormat="1" x14ac:dyDescent="0.25"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</row>
    <row r="667" spans="28:54" s="12" customFormat="1" x14ac:dyDescent="0.25"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</row>
    <row r="668" spans="28:54" s="12" customFormat="1" x14ac:dyDescent="0.25"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</row>
    <row r="669" spans="28:54" s="12" customFormat="1" x14ac:dyDescent="0.25"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</row>
    <row r="670" spans="28:54" s="12" customFormat="1" x14ac:dyDescent="0.25"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</row>
    <row r="671" spans="28:54" s="12" customFormat="1" x14ac:dyDescent="0.25"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</row>
    <row r="672" spans="28:54" s="12" customFormat="1" x14ac:dyDescent="0.25"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</row>
    <row r="673" spans="28:54" s="12" customFormat="1" x14ac:dyDescent="0.25"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</row>
    <row r="674" spans="28:54" s="12" customFormat="1" x14ac:dyDescent="0.25"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</row>
    <row r="675" spans="28:54" s="12" customFormat="1" x14ac:dyDescent="0.25"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</row>
    <row r="676" spans="28:54" s="12" customFormat="1" x14ac:dyDescent="0.25"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</row>
    <row r="677" spans="28:54" s="12" customFormat="1" x14ac:dyDescent="0.25"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</row>
    <row r="678" spans="28:54" s="12" customFormat="1" x14ac:dyDescent="0.25"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</row>
    <row r="679" spans="28:54" s="12" customFormat="1" x14ac:dyDescent="0.25"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</row>
    <row r="680" spans="28:54" s="12" customFormat="1" x14ac:dyDescent="0.25"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</row>
    <row r="681" spans="28:54" s="12" customFormat="1" x14ac:dyDescent="0.25"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</row>
    <row r="682" spans="28:54" s="12" customFormat="1" x14ac:dyDescent="0.25"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</row>
    <row r="683" spans="28:54" s="12" customFormat="1" x14ac:dyDescent="0.25"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</row>
    <row r="684" spans="28:54" s="12" customFormat="1" x14ac:dyDescent="0.25"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</row>
    <row r="685" spans="28:54" s="12" customFormat="1" x14ac:dyDescent="0.25"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</row>
    <row r="686" spans="28:54" s="12" customFormat="1" x14ac:dyDescent="0.25"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</row>
    <row r="687" spans="28:54" s="12" customFormat="1" x14ac:dyDescent="0.25"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</row>
    <row r="688" spans="28:54" s="12" customFormat="1" x14ac:dyDescent="0.25"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</row>
    <row r="689" spans="28:54" s="12" customFormat="1" x14ac:dyDescent="0.25"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</row>
    <row r="690" spans="28:54" s="12" customFormat="1" x14ac:dyDescent="0.25"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</row>
    <row r="691" spans="28:54" s="12" customFormat="1" x14ac:dyDescent="0.25"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</row>
    <row r="692" spans="28:54" s="12" customFormat="1" x14ac:dyDescent="0.25"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</row>
    <row r="693" spans="28:54" s="12" customFormat="1" x14ac:dyDescent="0.25"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</row>
    <row r="694" spans="28:54" s="12" customFormat="1" x14ac:dyDescent="0.25"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</row>
    <row r="695" spans="28:54" s="12" customFormat="1" x14ac:dyDescent="0.25"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</row>
    <row r="696" spans="28:54" s="12" customFormat="1" x14ac:dyDescent="0.25"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</row>
    <row r="697" spans="28:54" s="12" customFormat="1" x14ac:dyDescent="0.25"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</row>
    <row r="698" spans="28:54" s="12" customFormat="1" x14ac:dyDescent="0.25"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</row>
    <row r="699" spans="28:54" s="12" customFormat="1" x14ac:dyDescent="0.25"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</row>
    <row r="700" spans="28:54" s="12" customFormat="1" x14ac:dyDescent="0.25"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</row>
    <row r="701" spans="28:54" s="12" customFormat="1" x14ac:dyDescent="0.25"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</row>
    <row r="702" spans="28:54" s="12" customFormat="1" x14ac:dyDescent="0.25"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</row>
    <row r="703" spans="28:54" s="12" customFormat="1" x14ac:dyDescent="0.25"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</row>
    <row r="704" spans="28:54" s="12" customFormat="1" x14ac:dyDescent="0.25"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</row>
    <row r="705" spans="28:54" s="12" customFormat="1" x14ac:dyDescent="0.25"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</row>
    <row r="706" spans="28:54" s="12" customFormat="1" x14ac:dyDescent="0.25"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</row>
    <row r="707" spans="28:54" s="12" customFormat="1" x14ac:dyDescent="0.25"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</row>
    <row r="708" spans="28:54" s="12" customFormat="1" x14ac:dyDescent="0.25"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</row>
    <row r="709" spans="28:54" s="12" customFormat="1" x14ac:dyDescent="0.25"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</row>
    <row r="710" spans="28:54" s="12" customFormat="1" x14ac:dyDescent="0.25"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</row>
    <row r="711" spans="28:54" s="12" customFormat="1" x14ac:dyDescent="0.25"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</row>
    <row r="712" spans="28:54" s="12" customFormat="1" x14ac:dyDescent="0.25"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</row>
    <row r="713" spans="28:54" s="12" customFormat="1" x14ac:dyDescent="0.25"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</row>
    <row r="714" spans="28:54" s="12" customFormat="1" x14ac:dyDescent="0.25"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</row>
    <row r="715" spans="28:54" s="12" customFormat="1" x14ac:dyDescent="0.25"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</row>
    <row r="716" spans="28:54" s="12" customFormat="1" x14ac:dyDescent="0.25"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</row>
    <row r="717" spans="28:54" s="12" customFormat="1" x14ac:dyDescent="0.25"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</row>
    <row r="718" spans="28:54" s="12" customFormat="1" x14ac:dyDescent="0.25"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</row>
    <row r="719" spans="28:54" s="12" customFormat="1" x14ac:dyDescent="0.25"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</row>
    <row r="720" spans="28:54" s="12" customFormat="1" x14ac:dyDescent="0.25"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</row>
    <row r="721" spans="28:54" s="12" customFormat="1" x14ac:dyDescent="0.25"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</row>
    <row r="722" spans="28:54" s="12" customFormat="1" x14ac:dyDescent="0.25"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</row>
    <row r="723" spans="28:54" s="12" customFormat="1" x14ac:dyDescent="0.25"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</row>
    <row r="724" spans="28:54" s="12" customFormat="1" x14ac:dyDescent="0.25"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</row>
    <row r="725" spans="28:54" s="12" customFormat="1" x14ac:dyDescent="0.25"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</row>
    <row r="726" spans="28:54" s="12" customFormat="1" x14ac:dyDescent="0.25"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</row>
    <row r="727" spans="28:54" s="12" customFormat="1" x14ac:dyDescent="0.25"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</row>
    <row r="728" spans="28:54" s="12" customFormat="1" x14ac:dyDescent="0.25"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</row>
    <row r="729" spans="28:54" s="12" customFormat="1" x14ac:dyDescent="0.25"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</row>
    <row r="730" spans="28:54" s="12" customFormat="1" x14ac:dyDescent="0.25"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</row>
    <row r="731" spans="28:54" s="12" customFormat="1" x14ac:dyDescent="0.25"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</row>
    <row r="732" spans="28:54" s="12" customFormat="1" x14ac:dyDescent="0.25"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</row>
    <row r="733" spans="28:54" s="12" customFormat="1" x14ac:dyDescent="0.25"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</row>
    <row r="734" spans="28:54" s="12" customFormat="1" x14ac:dyDescent="0.25"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</row>
    <row r="735" spans="28:54" s="12" customFormat="1" x14ac:dyDescent="0.25"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</row>
    <row r="736" spans="28:54" s="12" customFormat="1" x14ac:dyDescent="0.25"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</row>
    <row r="737" spans="2:54" s="12" customFormat="1" x14ac:dyDescent="0.25"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</row>
    <row r="738" spans="2:54" s="12" customFormat="1" x14ac:dyDescent="0.25"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</row>
    <row r="739" spans="2:54" s="12" customFormat="1" x14ac:dyDescent="0.25"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</row>
    <row r="740" spans="2:54" s="12" customFormat="1" x14ac:dyDescent="0.25"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</row>
    <row r="741" spans="2:54" s="12" customFormat="1" x14ac:dyDescent="0.25"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</row>
    <row r="742" spans="2:54" s="12" customFormat="1" x14ac:dyDescent="0.25"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</row>
    <row r="743" spans="2:54" s="12" customFormat="1" x14ac:dyDescent="0.25">
      <c r="S743" s="8"/>
      <c r="T743" s="8"/>
      <c r="U743" s="8"/>
      <c r="V743" s="8"/>
      <c r="W743" s="8"/>
      <c r="X743" s="8"/>
      <c r="Y743" s="8"/>
      <c r="Z743" s="8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</row>
    <row r="744" spans="2:54" s="12" customFormat="1" x14ac:dyDescent="0.25">
      <c r="S744" s="8"/>
      <c r="T744" s="8"/>
      <c r="U744" s="8"/>
      <c r="V744" s="8"/>
      <c r="W744" s="8"/>
      <c r="X744" s="8"/>
      <c r="Y744" s="8"/>
      <c r="Z744" s="8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</row>
    <row r="745" spans="2:54" s="12" customFormat="1" x14ac:dyDescent="0.25">
      <c r="S745" s="8"/>
      <c r="T745" s="8"/>
      <c r="U745" s="8"/>
      <c r="V745" s="8"/>
      <c r="W745" s="8"/>
      <c r="X745" s="8"/>
      <c r="Y745" s="8"/>
      <c r="Z745" s="8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</row>
    <row r="746" spans="2:54" s="12" customFormat="1" x14ac:dyDescent="0.25">
      <c r="S746" s="8"/>
      <c r="T746" s="8"/>
      <c r="U746" s="8"/>
      <c r="V746" s="8"/>
      <c r="W746" s="8"/>
      <c r="X746" s="8"/>
      <c r="Y746" s="8"/>
      <c r="Z746" s="8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</row>
    <row r="747" spans="2:54" s="12" customFormat="1" x14ac:dyDescent="0.25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</row>
    <row r="748" spans="2:54" s="12" customFormat="1" x14ac:dyDescent="0.25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</row>
    <row r="749" spans="2:54" s="12" customFormat="1" x14ac:dyDescent="0.25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</row>
    <row r="750" spans="2:54" s="12" customFormat="1" x14ac:dyDescent="0.25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</row>
    <row r="751" spans="2:54" s="12" customFormat="1" x14ac:dyDescent="0.25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</row>
    <row r="752" spans="2:54" s="12" customFormat="1" x14ac:dyDescent="0.25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</row>
    <row r="753" spans="1:54" s="12" customFormat="1" x14ac:dyDescent="0.25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</row>
    <row r="754" spans="1:54" s="12" customFormat="1" x14ac:dyDescent="0.25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</row>
    <row r="755" spans="1:54" s="12" customFormat="1" x14ac:dyDescent="0.25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</row>
    <row r="756" spans="1:54" s="12" customFormat="1" x14ac:dyDescent="0.25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</row>
    <row r="757" spans="1:54" s="12" customFormat="1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</row>
    <row r="758" spans="1:54" s="12" customFormat="1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</row>
    <row r="759" spans="1:54" s="12" customFormat="1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</row>
    <row r="760" spans="1:54" s="12" customFormat="1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</row>
    <row r="761" spans="1:54" s="12" customFormat="1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</row>
  </sheetData>
  <mergeCells count="81">
    <mergeCell ref="A3:C3"/>
    <mergeCell ref="A2:C2"/>
    <mergeCell ref="X5:Y5"/>
    <mergeCell ref="X8:Y8"/>
    <mergeCell ref="N8:O8"/>
    <mergeCell ref="R7:W7"/>
    <mergeCell ref="R8:W8"/>
    <mergeCell ref="X7:Y7"/>
    <mergeCell ref="X6:Y6"/>
    <mergeCell ref="N2:O2"/>
    <mergeCell ref="P7:Q8"/>
    <mergeCell ref="M3:N3"/>
    <mergeCell ref="P4:Q4"/>
    <mergeCell ref="P5:Q6"/>
    <mergeCell ref="U47:V47"/>
    <mergeCell ref="S49:X50"/>
    <mergeCell ref="W47:X47"/>
    <mergeCell ref="U43:V43"/>
    <mergeCell ref="W43:X43"/>
    <mergeCell ref="U44:V44"/>
    <mergeCell ref="U45:V45"/>
    <mergeCell ref="W46:X46"/>
    <mergeCell ref="W45:X45"/>
    <mergeCell ref="W44:X44"/>
    <mergeCell ref="U46:V46"/>
    <mergeCell ref="B40:F40"/>
    <mergeCell ref="E11:F11"/>
    <mergeCell ref="C11:D11"/>
    <mergeCell ref="A38:B38"/>
    <mergeCell ref="N7:O7"/>
    <mergeCell ref="C21:D21"/>
    <mergeCell ref="N11:O11"/>
    <mergeCell ref="A31:B31"/>
    <mergeCell ref="L21:M21"/>
    <mergeCell ref="J21:K21"/>
    <mergeCell ref="N21:O21"/>
    <mergeCell ref="F7:G7"/>
    <mergeCell ref="F8:G8"/>
    <mergeCell ref="R5:T6"/>
    <mergeCell ref="U5:W5"/>
    <mergeCell ref="S21:T21"/>
    <mergeCell ref="Q21:R21"/>
    <mergeCell ref="Z41:AD41"/>
    <mergeCell ref="R9:W9"/>
    <mergeCell ref="Q11:R11"/>
    <mergeCell ref="S11:T11"/>
    <mergeCell ref="U21:V21"/>
    <mergeCell ref="S41:X41"/>
    <mergeCell ref="X9:Y9"/>
    <mergeCell ref="U11:V11"/>
    <mergeCell ref="K4:O6"/>
    <mergeCell ref="A6:C6"/>
    <mergeCell ref="A5:C5"/>
    <mergeCell ref="A4:C4"/>
    <mergeCell ref="A37:B37"/>
    <mergeCell ref="A32:A36"/>
    <mergeCell ref="E21:F21"/>
    <mergeCell ref="J11:K11"/>
    <mergeCell ref="L11:M11"/>
    <mergeCell ref="G11:H11"/>
    <mergeCell ref="G21:H21"/>
    <mergeCell ref="X2:Y2"/>
    <mergeCell ref="X3:Y3"/>
    <mergeCell ref="Z2:AA2"/>
    <mergeCell ref="R3:T4"/>
    <mergeCell ref="U3:W3"/>
    <mergeCell ref="U4:W4"/>
    <mergeCell ref="X4:Y4"/>
    <mergeCell ref="Z3:AA3"/>
    <mergeCell ref="Z4:AA4"/>
    <mergeCell ref="R2:W2"/>
    <mergeCell ref="AP8:AQ8"/>
    <mergeCell ref="U6:W6"/>
    <mergeCell ref="Z5:AA5"/>
    <mergeCell ref="Z9:AA9"/>
    <mergeCell ref="Z6:AA6"/>
    <mergeCell ref="AP5:AQ5"/>
    <mergeCell ref="AH7:AI7"/>
    <mergeCell ref="AH6:AI6"/>
    <mergeCell ref="Z8:AA8"/>
    <mergeCell ref="Z7:AA7"/>
  </mergeCells>
  <conditionalFormatting sqref="AH6:AI7 X7:AA7 AZ7">
    <cfRule type="cellIs" dxfId="23" priority="9" stopIfTrue="1" operator="greaterThanOrEqual">
      <formula>1</formula>
    </cfRule>
  </conditionalFormatting>
  <conditionalFormatting sqref="X8:AA9 X5:AA5 X3:AA3 AZ3 AZ5 AZ8:AZ9">
    <cfRule type="cellIs" dxfId="22" priority="10" stopIfTrue="1" operator="greaterThanOrEqual">
      <formula>7</formula>
    </cfRule>
    <cfRule type="cellIs" dxfId="21" priority="11" stopIfTrue="1" operator="equal">
      <formula>6</formula>
    </cfRule>
  </conditionalFormatting>
  <conditionalFormatting sqref="N8">
    <cfRule type="cellIs" dxfId="20" priority="12" stopIfTrue="1" operator="lessThan">
      <formula>1.33</formula>
    </cfRule>
  </conditionalFormatting>
  <conditionalFormatting sqref="F8">
    <cfRule type="cellIs" dxfId="19" priority="13" stopIfTrue="1" operator="lessThan">
      <formula>1.67</formula>
    </cfRule>
  </conditionalFormatting>
  <conditionalFormatting sqref="G11:H11 U21:V21 U11:V11 G21:H21 N21:O21 AH11:AI11 AV21:AW21 AV11:AW11 AH21:AI21 AO21:AP21">
    <cfRule type="cellIs" dxfId="18" priority="15" stopIfTrue="1" operator="notEqual">
      <formula>IF(#REF!&gt;=2,"","")</formula>
    </cfRule>
  </conditionalFormatting>
  <conditionalFormatting sqref="N11:O11 AO11:AP11">
    <cfRule type="cellIs" dxfId="17" priority="16" stopIfTrue="1" operator="notEqual">
      <formula>IF(#REF!&gt;=2,"","")</formula>
    </cfRule>
  </conditionalFormatting>
  <conditionalFormatting sqref="BW32:BW36">
    <cfRule type="cellIs" dxfId="16" priority="19" stopIfTrue="1" operator="notBetween">
      <formula>$L$2</formula>
      <formula>$Q$2</formula>
    </cfRule>
  </conditionalFormatting>
  <conditionalFormatting sqref="K2">
    <cfRule type="cellIs" dxfId="15" priority="52" stopIfTrue="1" operator="equal">
      <formula>IF($K$9=3, "")</formula>
    </cfRule>
  </conditionalFormatting>
  <conditionalFormatting sqref="L2">
    <cfRule type="cellIs" dxfId="14" priority="53" stopIfTrue="1" operator="equal">
      <formula>IF($K$9=1,"LSL:",IF($K$9=2,"MIN:",""))</formula>
    </cfRule>
  </conditionalFormatting>
  <conditionalFormatting sqref="P2">
    <cfRule type="cellIs" dxfId="13" priority="54" stopIfTrue="1" operator="equal">
      <formula>IF($K$9=2, "")</formula>
    </cfRule>
  </conditionalFormatting>
  <conditionalFormatting sqref="Q2">
    <cfRule type="cellIs" dxfId="12" priority="55" stopIfTrue="1" operator="equal">
      <formula>IF($K$9=1,"USL:",IF($K$9=2,"","MAX:"))</formula>
    </cfRule>
  </conditionalFormatting>
  <conditionalFormatting sqref="M3">
    <cfRule type="cellIs" dxfId="11" priority="56" stopIfTrue="1" operator="equal">
      <formula>IF(OR($K$9=2, $K$9=3), "")</formula>
    </cfRule>
  </conditionalFormatting>
  <conditionalFormatting sqref="O3">
    <cfRule type="cellIs" dxfId="10" priority="57" stopIfTrue="1" operator="equal">
      <formula>IF($K$9=1,"NOMINAL:","")</formula>
    </cfRule>
  </conditionalFormatting>
  <printOptions horizontalCentered="1" verticalCentered="1"/>
  <pageMargins left="0.5" right="0.5" top="0.25" bottom="0.25" header="0.5" footer="0.5"/>
  <pageSetup paperSize="9" pageOrder="overThenDown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0" r:id="rId4" name="Option Button 32">
              <controlPr defaultSize="0" autoFill="0" autoLine="0" autoPict="0">
                <anchor moveWithCells="1">
                  <from>
                    <xdr:col>0</xdr:col>
                    <xdr:colOff>7620</xdr:colOff>
                    <xdr:row>7</xdr:row>
                    <xdr:rowOff>198120</xdr:rowOff>
                  </from>
                  <to>
                    <xdr:col>4</xdr:col>
                    <xdr:colOff>220980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5" name="Option Button 33">
              <controlPr locked="0" defaultSize="0" autoFill="0" autoLine="0" autoPict="0">
                <anchor moveWithCells="1">
                  <from>
                    <xdr:col>6</xdr:col>
                    <xdr:colOff>213360</xdr:colOff>
                    <xdr:row>8</xdr:row>
                    <xdr:rowOff>30480</xdr:rowOff>
                  </from>
                  <to>
                    <xdr:col>9</xdr:col>
                    <xdr:colOff>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6" name="Option Button 34">
              <controlPr locked="0" defaultSize="0" autoFill="0" autoLine="0" autoPict="0">
                <anchor moveWithCells="1">
                  <from>
                    <xdr:col>12</xdr:col>
                    <xdr:colOff>99060</xdr:colOff>
                    <xdr:row>8</xdr:row>
                    <xdr:rowOff>7620</xdr:rowOff>
                  </from>
                  <to>
                    <xdr:col>15</xdr:col>
                    <xdr:colOff>60960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7" name="Drop Down 542">
              <controlPr defaultSize="0" print="0" autoFill="0" autoLine="0" autoPict="0">
                <anchor moveWithCells="1">
                  <from>
                    <xdr:col>15</xdr:col>
                    <xdr:colOff>38100</xdr:colOff>
                    <xdr:row>6</xdr:row>
                    <xdr:rowOff>45720</xdr:rowOff>
                  </from>
                  <to>
                    <xdr:col>16</xdr:col>
                    <xdr:colOff>342900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8" name="Drop Down 551">
              <controlPr defaultSize="0" print="0" autoFill="0" autoLine="0" autoPict="0">
                <anchor moveWithCells="1">
                  <from>
                    <xdr:col>10</xdr:col>
                    <xdr:colOff>236220</xdr:colOff>
                    <xdr:row>3</xdr:row>
                    <xdr:rowOff>144780</xdr:rowOff>
                  </from>
                  <to>
                    <xdr:col>14</xdr:col>
                    <xdr:colOff>160020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4" stopIfTrue="1" operator="greaterThan" id="{D0638A46-1BD2-4498-9C80-887ED8876C90}">
            <xm:f>Formule!$X$35</xm:f>
            <x14:dxf>
              <fill>
                <patternFill>
                  <bgColor indexed="10"/>
                </patternFill>
              </fill>
            </x14:dxf>
          </x14:cfRule>
          <x14:cfRule type="cellIs" priority="45" stopIfTrue="1" operator="lessThan" id="{8972CDC9-A109-4C63-BA70-7F50CA5F9F5D}">
            <xm:f>Formule!$X$36</xm:f>
            <x14:dxf>
              <fill>
                <patternFill>
                  <bgColor indexed="10"/>
                </patternFill>
              </fill>
            </x14:dxf>
          </x14:cfRule>
          <xm:sqref>C38:BW38</xm:sqref>
        </x14:conditionalFormatting>
        <x14:conditionalFormatting xmlns:xm="http://schemas.microsoft.com/office/excel/2006/main">
          <x14:cfRule type="cellIs" priority="48" stopIfTrue="1" operator="greaterThan" id="{0C1E1E03-921A-42AB-8CAA-27453E6ECFF7}">
            <xm:f>Formule!$X$33</xm:f>
            <x14:dxf>
              <fill>
                <patternFill>
                  <bgColor indexed="10"/>
                </patternFill>
              </fill>
            </x14:dxf>
          </x14:cfRule>
          <x14:cfRule type="cellIs" priority="49" stopIfTrue="1" operator="lessThan" id="{16FBEB75-CFA7-4608-A92B-78FB2944D5D5}">
            <xm:f>Formule!$X$34</xm:f>
            <x14:dxf>
              <fill>
                <patternFill>
                  <bgColor indexed="10"/>
                </patternFill>
              </fill>
            </x14:dxf>
          </x14:cfRule>
          <xm:sqref>C37:BW37</xm:sqref>
        </x14:conditionalFormatting>
        <x14:conditionalFormatting xmlns:xm="http://schemas.microsoft.com/office/excel/2006/main">
          <x14:cfRule type="cellIs" priority="51" stopIfTrue="1" operator="equal" id="{A8751817-6843-4FFC-A3B4-9997CD2EC4CD}">
            <xm:f>IF(Formule!$N$171="Process output without usual defects","Process output without usual defects","")</xm:f>
            <x14:dxf>
              <fill>
                <patternFill>
                  <bgColor indexed="41"/>
                </patternFill>
              </fill>
            </x14:dxf>
          </x14:cfRule>
          <xm:sqref>S49:X50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347"/>
  <sheetViews>
    <sheetView zoomScale="130" zoomScaleNormal="130" workbookViewId="0">
      <selection activeCell="U39" sqref="U39:CT39"/>
    </sheetView>
  </sheetViews>
  <sheetFormatPr defaultColWidth="9.109375" defaultRowHeight="13.2" x14ac:dyDescent="0.25"/>
  <cols>
    <col min="1" max="1" width="9.109375" style="1"/>
    <col min="2" max="2" width="9.109375" style="6"/>
    <col min="3" max="11" width="9.109375" style="2"/>
    <col min="12" max="18" width="9.109375" style="1"/>
    <col min="19" max="19" width="13.33203125" style="1" customWidth="1"/>
    <col min="20" max="16384" width="9.109375" style="1"/>
  </cols>
  <sheetData>
    <row r="1" spans="1:105" ht="13.8" thickBot="1" x14ac:dyDescent="0.3">
      <c r="A1" s="133"/>
      <c r="B1" s="188"/>
      <c r="C1" s="189" t="s">
        <v>2</v>
      </c>
      <c r="D1" s="189" t="s">
        <v>3</v>
      </c>
      <c r="E1" s="189" t="s">
        <v>4</v>
      </c>
      <c r="F1" s="189" t="s">
        <v>5</v>
      </c>
      <c r="G1" s="189" t="s">
        <v>119</v>
      </c>
      <c r="H1" s="189" t="s">
        <v>6</v>
      </c>
      <c r="I1" s="189" t="s">
        <v>112</v>
      </c>
      <c r="J1" s="135"/>
      <c r="K1" s="190">
        <v>1</v>
      </c>
      <c r="L1" s="136"/>
      <c r="M1" s="191"/>
      <c r="P1" s="9"/>
      <c r="Q1" s="155"/>
      <c r="R1" s="156" t="s">
        <v>168</v>
      </c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1">
        <v>2</v>
      </c>
      <c r="BD1" s="12">
        <f>COUNT(SPC!C32:C36)</f>
        <v>5</v>
      </c>
      <c r="BE1" s="12">
        <f>COUNT(SPC!D32:D36)</f>
        <v>5</v>
      </c>
      <c r="BF1" s="12">
        <f>COUNT(SPC!E32:E36)</f>
        <v>5</v>
      </c>
      <c r="BG1" s="12">
        <f>COUNT(SPC!F32:F36)</f>
        <v>5</v>
      </c>
      <c r="BH1" s="12">
        <f>COUNT(SPC!G32:G36)</f>
        <v>5</v>
      </c>
      <c r="BI1" s="12">
        <f>COUNT(SPC!H32:H36)</f>
        <v>5</v>
      </c>
      <c r="BJ1" s="12">
        <f>COUNT(SPC!I32:I36)</f>
        <v>5</v>
      </c>
      <c r="BK1" s="12">
        <f>COUNT(SPC!J32:J36)</f>
        <v>5</v>
      </c>
      <c r="BL1" s="12">
        <f>COUNT(SPC!K32:K36)</f>
        <v>5</v>
      </c>
      <c r="BM1" s="12">
        <f>COUNT(SPC!L32:L36)</f>
        <v>5</v>
      </c>
      <c r="BN1" s="12">
        <f>COUNT(SPC!M32:M36)</f>
        <v>5</v>
      </c>
      <c r="BO1" s="12">
        <f>COUNT(SPC!N32:N36)</f>
        <v>5</v>
      </c>
      <c r="BP1" s="12">
        <f>COUNT(SPC!O32:O36)</f>
        <v>5</v>
      </c>
      <c r="BQ1" s="12">
        <f>COUNT(SPC!P32:P36)</f>
        <v>5</v>
      </c>
      <c r="BR1" s="12">
        <f>COUNT(SPC!Q32:Q36)</f>
        <v>5</v>
      </c>
      <c r="BS1" s="12">
        <f>COUNT(SPC!R32:R36)</f>
        <v>5</v>
      </c>
      <c r="BT1" s="12">
        <f>COUNT(SPC!S32:S36)</f>
        <v>5</v>
      </c>
      <c r="BU1" s="12">
        <f>COUNT(SPC!T32:T36)</f>
        <v>5</v>
      </c>
      <c r="BV1" s="12">
        <f>COUNT(SPC!U32:U36)</f>
        <v>5</v>
      </c>
      <c r="BW1" s="12">
        <f>COUNT(SPC!V32:V36)</f>
        <v>5</v>
      </c>
      <c r="BX1" s="12">
        <f>COUNT(SPC!W32:W36)</f>
        <v>5</v>
      </c>
      <c r="BY1" s="12">
        <f>COUNT(SPC!X32:X36)</f>
        <v>5</v>
      </c>
      <c r="BZ1" s="12">
        <f>COUNT(SPC!Y32:Y36)</f>
        <v>5</v>
      </c>
      <c r="CA1" s="12">
        <f>COUNT(SPC!Z32:Z36)</f>
        <v>5</v>
      </c>
      <c r="CB1" s="12">
        <f>COUNT(SPC!AA32:AA36)</f>
        <v>5</v>
      </c>
      <c r="CC1" s="12">
        <f>COUNT(SPC!AB32:AB36)</f>
        <v>5</v>
      </c>
      <c r="CD1" s="12">
        <f>COUNT(SPC!AC32:AC36)</f>
        <v>5</v>
      </c>
      <c r="CE1" s="12">
        <f>COUNT(SPC!AD32:AD36)</f>
        <v>5</v>
      </c>
      <c r="CF1" s="12">
        <f>COUNT(SPC!AE32:AE36)</f>
        <v>5</v>
      </c>
      <c r="CG1" s="12">
        <f>COUNT(SPC!AF32:AF36)</f>
        <v>5</v>
      </c>
      <c r="CH1" s="12">
        <f>COUNT(SPC!AG32:AG36)</f>
        <v>5</v>
      </c>
      <c r="CI1" s="12">
        <f>COUNT(SPC!AH32:AH36)</f>
        <v>5</v>
      </c>
      <c r="CJ1" s="12">
        <f>COUNT(SPC!AI32:AI36)</f>
        <v>5</v>
      </c>
      <c r="CK1" s="12">
        <f>COUNT(SPC!AJ32:AJ36)</f>
        <v>5</v>
      </c>
      <c r="CL1" s="12">
        <f>COUNT(SPC!AK32:AK36)</f>
        <v>5</v>
      </c>
      <c r="CM1" s="12">
        <f>COUNT(SPC!AL32:AL36)</f>
        <v>5</v>
      </c>
      <c r="CN1" s="12">
        <f>COUNT(SPC!AM32:AM36)</f>
        <v>5</v>
      </c>
      <c r="CO1" s="12">
        <f>COUNT(SPC!AN32:AN36)</f>
        <v>5</v>
      </c>
      <c r="CP1" s="12">
        <f>COUNT(SPC!AO32:AO36)</f>
        <v>5</v>
      </c>
      <c r="CQ1" s="12">
        <f>COUNT(SPC!AP32:AP36)</f>
        <v>5</v>
      </c>
      <c r="CR1" s="12">
        <f>COUNT(SPC!AQ32:AQ36)</f>
        <v>5</v>
      </c>
      <c r="CS1" s="12">
        <f>COUNT(SPC!AR32:AR36)</f>
        <v>5</v>
      </c>
      <c r="CT1" s="12">
        <f>COUNT(SPC!AS32:AS36)</f>
        <v>5</v>
      </c>
      <c r="CU1" s="12">
        <f>COUNT(SPC!AT32:AT36)</f>
        <v>5</v>
      </c>
      <c r="CV1" s="12">
        <f>COUNT(SPC!AU32:AU36)</f>
        <v>5</v>
      </c>
      <c r="CW1" s="12">
        <f>COUNT(SPC!AV32:AV36)</f>
        <v>5</v>
      </c>
      <c r="CX1" s="12">
        <f>COUNT(SPC!AW32:AW36)</f>
        <v>5</v>
      </c>
      <c r="CY1" s="12">
        <f>COUNT(SPC!AX32:AX36)</f>
        <v>5</v>
      </c>
      <c r="CZ1" s="12">
        <f>COUNT(SPC!AY32:AY36)</f>
        <v>5</v>
      </c>
      <c r="DA1" s="12">
        <f>COUNT(SPC!AZ32:AZ36)</f>
        <v>5</v>
      </c>
    </row>
    <row r="2" spans="1:105" x14ac:dyDescent="0.25">
      <c r="A2" s="140">
        <v>1</v>
      </c>
      <c r="B2" s="7">
        <f>SPC!G$37</f>
        <v>17.223772299417032</v>
      </c>
      <c r="C2" s="3">
        <f>IF(B2="N/A",NA(),(B2-$G$2)/$H$2)</f>
        <v>-0.84469985260820879</v>
      </c>
      <c r="D2" s="4">
        <f>IF(B2="N/A",NA(),RANK(B2,$B$2:$B$51,TRUE)/$I$2)</f>
        <v>0.28000000000000003</v>
      </c>
      <c r="E2" s="3">
        <f t="shared" ref="E2:E51" si="0">NORMDIST(C2,0,1,TRUE)</f>
        <v>0.19913922089758435</v>
      </c>
      <c r="F2" s="3">
        <f>IF(B2="N/A",NA(),NORMDIST(B2,$G$2,$H$2,TRUE)*100)</f>
        <v>19.913922089758433</v>
      </c>
      <c r="G2" s="3">
        <f>AVERAGE(SPC!C37:BA37)</f>
        <v>17.22866227781148</v>
      </c>
      <c r="H2" s="3">
        <f>STDEV(SPC!C37:BA37)</f>
        <v>5.789012960461087E-3</v>
      </c>
      <c r="I2" s="4">
        <f>COUNT(B2:B51)</f>
        <v>50</v>
      </c>
      <c r="J2" s="142"/>
      <c r="K2" s="192" t="s">
        <v>139</v>
      </c>
      <c r="L2" s="5"/>
      <c r="M2" s="149"/>
      <c r="P2" s="14"/>
      <c r="Q2" s="157"/>
      <c r="R2" s="158" t="s">
        <v>169</v>
      </c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156" t="s">
        <v>168</v>
      </c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143"/>
      <c r="BW2" s="12"/>
    </row>
    <row r="3" spans="1:105" ht="15.6" x14ac:dyDescent="0.3">
      <c r="A3" s="140">
        <f t="shared" ref="A3:A51" si="1">A2+1</f>
        <v>2</v>
      </c>
      <c r="B3" s="7">
        <f>SPC!V$37</f>
        <v>17.236359515325198</v>
      </c>
      <c r="C3" s="3">
        <f t="shared" ref="C3:C51" si="2">IF(B3="N/A",NA(),(B3-$G$2)/$H$2)</f>
        <v>1.3296286545373965</v>
      </c>
      <c r="D3" s="4">
        <f t="shared" ref="D3:D51" si="3">IF(B3="N/A",NA(),RANK(B3,$B$2:$B$51,TRUE)/$I$2)</f>
        <v>0.78</v>
      </c>
      <c r="E3" s="3">
        <f t="shared" si="0"/>
        <v>0.90817967389589449</v>
      </c>
      <c r="F3" s="3">
        <f t="shared" ref="F3:F51" si="4">IF(B3="N/A",NA(),NORMDIST(B3,$G$2,$H$2,TRUE)*100)</f>
        <v>90.817967389589455</v>
      </c>
      <c r="G3" s="4"/>
      <c r="H3" s="4"/>
      <c r="I3" s="4"/>
      <c r="J3" s="142"/>
      <c r="K3" s="192" t="s">
        <v>137</v>
      </c>
      <c r="L3" s="5"/>
      <c r="M3" s="149"/>
      <c r="P3" s="123"/>
      <c r="Q3" s="159"/>
      <c r="R3" s="15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158" t="s">
        <v>169</v>
      </c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143"/>
      <c r="BW3" s="12"/>
    </row>
    <row r="4" spans="1:105" ht="15.6" x14ac:dyDescent="0.3">
      <c r="A4" s="140">
        <f t="shared" si="1"/>
        <v>3</v>
      </c>
      <c r="B4" s="7">
        <f>SPC!Y$37</f>
        <v>17.222663910821439</v>
      </c>
      <c r="C4" s="3">
        <f t="shared" si="2"/>
        <v>-1.0361640284813074</v>
      </c>
      <c r="D4" s="4">
        <f t="shared" si="3"/>
        <v>0.04</v>
      </c>
      <c r="E4" s="3">
        <f t="shared" si="0"/>
        <v>0.15006281265045684</v>
      </c>
      <c r="F4" s="3">
        <f t="shared" si="4"/>
        <v>15.006281265045684</v>
      </c>
      <c r="G4" s="4"/>
      <c r="H4" s="4"/>
      <c r="I4" s="4"/>
      <c r="J4" s="142"/>
      <c r="K4" s="192" t="s">
        <v>138</v>
      </c>
      <c r="L4" s="5"/>
      <c r="M4" s="149"/>
      <c r="P4" s="114"/>
      <c r="Q4" s="159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143"/>
      <c r="BW4" s="12"/>
    </row>
    <row r="5" spans="1:105" x14ac:dyDescent="0.25">
      <c r="A5" s="140">
        <f t="shared" si="1"/>
        <v>4</v>
      </c>
      <c r="B5" s="7">
        <f>SPC!M$37</f>
        <v>17.222663910821439</v>
      </c>
      <c r="C5" s="3">
        <f t="shared" si="2"/>
        <v>-1.0361640284813074</v>
      </c>
      <c r="D5" s="4">
        <f t="shared" si="3"/>
        <v>0.04</v>
      </c>
      <c r="E5" s="3">
        <f t="shared" si="0"/>
        <v>0.15006281265045684</v>
      </c>
      <c r="F5" s="3">
        <f t="shared" si="4"/>
        <v>15.006281265045684</v>
      </c>
      <c r="G5" s="4"/>
      <c r="H5" s="4">
        <f>RANK(B2,B2:B51,TRUE)</f>
        <v>14</v>
      </c>
      <c r="I5" s="4"/>
      <c r="J5" s="142"/>
      <c r="K5" s="193"/>
      <c r="L5" s="5"/>
      <c r="M5" s="149"/>
      <c r="P5" s="124"/>
      <c r="Q5" s="160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143"/>
      <c r="BW5" s="12"/>
    </row>
    <row r="6" spans="1:105" x14ac:dyDescent="0.25">
      <c r="A6" s="140">
        <f t="shared" si="1"/>
        <v>5</v>
      </c>
      <c r="B6" s="7">
        <f>SPC!U$37</f>
        <v>17.222663910821439</v>
      </c>
      <c r="C6" s="3">
        <f t="shared" si="2"/>
        <v>-1.0361640284813074</v>
      </c>
      <c r="D6" s="4">
        <f t="shared" si="3"/>
        <v>0.04</v>
      </c>
      <c r="E6" s="3">
        <f t="shared" si="0"/>
        <v>0.15006281265045684</v>
      </c>
      <c r="F6" s="3">
        <f t="shared" si="4"/>
        <v>15.006281265045684</v>
      </c>
      <c r="G6" s="4"/>
      <c r="H6" s="4">
        <f>RANK(B3,B2:B51,TRUE)/50</f>
        <v>0.78</v>
      </c>
      <c r="I6" s="4"/>
      <c r="J6" s="142"/>
      <c r="K6" s="193"/>
      <c r="L6" s="5"/>
      <c r="M6" s="149"/>
      <c r="P6" s="126"/>
      <c r="Q6" s="161"/>
      <c r="R6" s="88"/>
      <c r="S6" s="88"/>
      <c r="T6" s="88"/>
      <c r="U6" s="88"/>
      <c r="V6" s="18"/>
      <c r="W6" s="388" t="s">
        <v>142</v>
      </c>
      <c r="X6" s="388"/>
      <c r="Y6" s="388"/>
      <c r="Z6" s="389"/>
      <c r="AA6" s="390" t="s">
        <v>145</v>
      </c>
      <c r="AB6" s="388"/>
      <c r="AC6" s="388"/>
      <c r="AD6" s="391"/>
      <c r="AE6" s="387" t="s">
        <v>146</v>
      </c>
      <c r="AF6" s="388"/>
      <c r="AG6" s="388"/>
      <c r="AH6" s="388"/>
      <c r="AI6" s="88"/>
      <c r="AJ6" s="88"/>
      <c r="AK6" s="88"/>
      <c r="AL6" s="88"/>
      <c r="AM6" s="88"/>
      <c r="AN6" s="88"/>
      <c r="AO6" s="88"/>
      <c r="AP6" s="88"/>
      <c r="AQ6" s="88"/>
      <c r="AR6" s="19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1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143"/>
      <c r="BW6" s="12"/>
    </row>
    <row r="7" spans="1:105" x14ac:dyDescent="0.25">
      <c r="A7" s="140">
        <f t="shared" si="1"/>
        <v>6</v>
      </c>
      <c r="B7" s="7">
        <f>SPC!Z$37</f>
        <v>17.236359515325198</v>
      </c>
      <c r="C7" s="3">
        <f t="shared" si="2"/>
        <v>1.3296286545373965</v>
      </c>
      <c r="D7" s="4">
        <f t="shared" si="3"/>
        <v>0.78</v>
      </c>
      <c r="E7" s="3">
        <f t="shared" si="0"/>
        <v>0.90817967389589449</v>
      </c>
      <c r="F7" s="3">
        <f t="shared" si="4"/>
        <v>90.817967389589455</v>
      </c>
      <c r="G7" s="4"/>
      <c r="H7" s="4"/>
      <c r="I7" s="4"/>
      <c r="J7" s="142"/>
      <c r="K7" s="142"/>
      <c r="L7" s="5"/>
      <c r="M7" s="149"/>
      <c r="P7" s="127"/>
      <c r="Q7" s="162"/>
      <c r="R7" s="88" t="str">
        <f>IF(SPC!X3&gt;=7,1,"")</f>
        <v/>
      </c>
      <c r="S7" s="88" t="str">
        <f>IF(SPC!Z3&gt;=7,1,"")</f>
        <v/>
      </c>
      <c r="T7" s="163" t="s">
        <v>112</v>
      </c>
      <c r="U7" s="146"/>
      <c r="V7" s="23"/>
      <c r="W7" s="23" t="s">
        <v>31</v>
      </c>
      <c r="X7" s="23" t="s">
        <v>32</v>
      </c>
      <c r="Y7" s="23" t="s">
        <v>33</v>
      </c>
      <c r="Z7" s="24"/>
      <c r="AA7" s="102" t="s">
        <v>144</v>
      </c>
      <c r="AB7" s="100" t="s">
        <v>32</v>
      </c>
      <c r="AC7" s="100" t="s">
        <v>33</v>
      </c>
      <c r="AD7" s="103"/>
      <c r="AE7" s="99" t="s">
        <v>144</v>
      </c>
      <c r="AF7" s="100" t="s">
        <v>32</v>
      </c>
      <c r="AG7" s="100" t="s">
        <v>33</v>
      </c>
      <c r="AH7" s="100"/>
      <c r="AI7" s="88"/>
      <c r="AJ7" s="164" t="s">
        <v>42</v>
      </c>
      <c r="AK7" s="164">
        <f>IF(SPC!K9=2,"N/A",(SPC!Q2-SPC!AH8)/(3*SPC!AP9))</f>
        <v>4.2956344853445207</v>
      </c>
      <c r="AL7" s="88"/>
      <c r="AM7" s="88"/>
      <c r="AN7" s="88"/>
      <c r="AO7" s="88"/>
      <c r="AP7" s="88"/>
      <c r="AQ7" s="88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143"/>
      <c r="BW7" s="12"/>
    </row>
    <row r="8" spans="1:105" x14ac:dyDescent="0.25">
      <c r="A8" s="140">
        <f t="shared" si="1"/>
        <v>7</v>
      </c>
      <c r="B8" s="7">
        <f>SPC!H$37</f>
        <v>17.232445480875615</v>
      </c>
      <c r="C8" s="3">
        <f t="shared" si="2"/>
        <v>0.65351435382403833</v>
      </c>
      <c r="D8" s="4">
        <f t="shared" si="3"/>
        <v>0.54</v>
      </c>
      <c r="E8" s="3">
        <f t="shared" si="0"/>
        <v>0.74328763059357206</v>
      </c>
      <c r="F8" s="3">
        <f t="shared" si="4"/>
        <v>74.3287630593572</v>
      </c>
      <c r="G8" s="4"/>
      <c r="H8" s="4"/>
      <c r="I8" s="4"/>
      <c r="J8" s="142"/>
      <c r="K8" s="142"/>
      <c r="L8" s="5"/>
      <c r="M8" s="149"/>
      <c r="P8" s="127"/>
      <c r="Q8" s="162"/>
      <c r="R8" s="20"/>
      <c r="S8" s="26"/>
      <c r="T8" s="20">
        <f>IF(COUNT(SPC!C37:AA37,SPC!AC37:BA37)&lt;&gt;0,COUNT(SPC!C37:AA37,SPC!AC37:BA37),"")</f>
        <v>50</v>
      </c>
      <c r="U8" s="20"/>
      <c r="V8" s="23" t="s">
        <v>38</v>
      </c>
      <c r="W8" s="23" t="s">
        <v>39</v>
      </c>
      <c r="X8" s="23" t="s">
        <v>40</v>
      </c>
      <c r="Y8" s="23" t="s">
        <v>41</v>
      </c>
      <c r="Z8" s="27" t="s">
        <v>131</v>
      </c>
      <c r="AA8" s="28" t="s">
        <v>143</v>
      </c>
      <c r="AB8" s="29" t="s">
        <v>40</v>
      </c>
      <c r="AC8" s="23" t="s">
        <v>41</v>
      </c>
      <c r="AD8" s="30" t="s">
        <v>131</v>
      </c>
      <c r="AE8" s="31" t="s">
        <v>147</v>
      </c>
      <c r="AF8" s="32" t="s">
        <v>40</v>
      </c>
      <c r="AG8" s="33" t="s">
        <v>41</v>
      </c>
      <c r="AH8" s="33" t="s">
        <v>131</v>
      </c>
      <c r="AI8" s="20"/>
      <c r="AJ8" s="164" t="s">
        <v>45</v>
      </c>
      <c r="AK8" s="164">
        <f>IF(SPC!K9=3,"N/A",(SPC!AH8-SPC!L2)/(3*SPC!AP9))</f>
        <v>0.71638304645371942</v>
      </c>
      <c r="AL8" s="20"/>
      <c r="AM8" s="20"/>
      <c r="AN8" s="20"/>
      <c r="AO8" s="20"/>
      <c r="AP8" s="88"/>
      <c r="AQ8" s="88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165"/>
      <c r="BW8" s="10"/>
    </row>
    <row r="9" spans="1:105" x14ac:dyDescent="0.25">
      <c r="A9" s="140">
        <f t="shared" si="1"/>
        <v>8</v>
      </c>
      <c r="B9" s="7">
        <f>SPC!I$37</f>
        <v>17.222663910821439</v>
      </c>
      <c r="C9" s="3">
        <f t="shared" si="2"/>
        <v>-1.0361640284813074</v>
      </c>
      <c r="D9" s="4">
        <f t="shared" si="3"/>
        <v>0.04</v>
      </c>
      <c r="E9" s="3">
        <f t="shared" si="0"/>
        <v>0.15006281265045684</v>
      </c>
      <c r="F9" s="3">
        <f t="shared" si="4"/>
        <v>15.006281265045684</v>
      </c>
      <c r="G9" s="4"/>
      <c r="H9" s="4"/>
      <c r="I9" s="4"/>
      <c r="J9" s="142"/>
      <c r="K9" s="142"/>
      <c r="L9" s="5"/>
      <c r="M9" s="149"/>
      <c r="P9" s="127"/>
      <c r="Q9" s="162"/>
      <c r="R9" s="88" t="str">
        <f>IF(SPC!X5&gt;=7,1,"")</f>
        <v/>
      </c>
      <c r="S9" s="88" t="str">
        <f>IF(SPC!Z5&gt;=7,1,"")</f>
        <v/>
      </c>
      <c r="T9" s="88"/>
      <c r="U9" s="88"/>
      <c r="V9" s="23">
        <v>2</v>
      </c>
      <c r="W9" s="33">
        <v>1.88</v>
      </c>
      <c r="X9" s="23">
        <v>0</v>
      </c>
      <c r="Y9" s="33">
        <v>3.2669999999999999</v>
      </c>
      <c r="Z9" s="101">
        <v>1.1279999999999999</v>
      </c>
      <c r="AA9" s="34">
        <v>2.66</v>
      </c>
      <c r="AB9" s="100">
        <v>0</v>
      </c>
      <c r="AC9" s="100">
        <v>3.2669999999999999</v>
      </c>
      <c r="AD9" s="103">
        <v>1.1279999999999999</v>
      </c>
      <c r="AE9" s="35">
        <v>1.88</v>
      </c>
      <c r="AF9" s="36">
        <v>0</v>
      </c>
      <c r="AG9" s="37">
        <v>3.2669999999999999</v>
      </c>
      <c r="AH9" s="37">
        <v>1.1279999999999999</v>
      </c>
      <c r="AI9" s="88"/>
      <c r="AJ9" s="88"/>
      <c r="AK9" s="88"/>
      <c r="AL9" s="88"/>
      <c r="AM9" s="88"/>
      <c r="AN9" s="88"/>
      <c r="AO9" s="88"/>
      <c r="AP9" s="88"/>
      <c r="AQ9" s="88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143"/>
      <c r="BW9" s="12"/>
    </row>
    <row r="10" spans="1:105" x14ac:dyDescent="0.25">
      <c r="A10" s="140">
        <f t="shared" si="1"/>
        <v>9</v>
      </c>
      <c r="B10" s="7">
        <f>SPC!J$37</f>
        <v>17.236359515325198</v>
      </c>
      <c r="C10" s="3">
        <f t="shared" si="2"/>
        <v>1.3296286545373965</v>
      </c>
      <c r="D10" s="4">
        <f t="shared" si="3"/>
        <v>0.78</v>
      </c>
      <c r="E10" s="3">
        <f t="shared" si="0"/>
        <v>0.90817967389589449</v>
      </c>
      <c r="F10" s="3">
        <f t="shared" si="4"/>
        <v>90.817967389589455</v>
      </c>
      <c r="G10" s="4"/>
      <c r="H10" s="4"/>
      <c r="I10" s="4"/>
      <c r="J10" s="142"/>
      <c r="K10" s="142"/>
      <c r="L10" s="5"/>
      <c r="M10" s="149"/>
      <c r="P10" s="127"/>
      <c r="Q10" s="162"/>
      <c r="R10" s="88"/>
      <c r="S10" s="88"/>
      <c r="T10" s="88"/>
      <c r="U10" s="88"/>
      <c r="V10" s="23">
        <v>3</v>
      </c>
      <c r="W10" s="33">
        <v>1.0229999999999999</v>
      </c>
      <c r="X10" s="23">
        <v>0</v>
      </c>
      <c r="Y10" s="33">
        <v>2.5739999999999998</v>
      </c>
      <c r="Z10" s="101">
        <v>1.6930000000000001</v>
      </c>
      <c r="AA10" s="34">
        <v>1.772</v>
      </c>
      <c r="AB10" s="100">
        <v>0</v>
      </c>
      <c r="AC10" s="100">
        <v>2.5739999999999998</v>
      </c>
      <c r="AD10" s="103">
        <v>1.6930000000000001</v>
      </c>
      <c r="AE10" s="38">
        <v>1.1870000000000001</v>
      </c>
      <c r="AF10" s="36">
        <v>0</v>
      </c>
      <c r="AG10" s="37">
        <v>2.5739999999999998</v>
      </c>
      <c r="AH10" s="37">
        <v>1.6930000000000001</v>
      </c>
      <c r="AI10" s="88"/>
      <c r="AJ10" s="88"/>
      <c r="AK10" s="88"/>
      <c r="AL10" s="88"/>
      <c r="AM10" s="88"/>
      <c r="AN10" s="88"/>
      <c r="AO10" s="88"/>
      <c r="AP10" s="88"/>
      <c r="AQ10" s="88"/>
      <c r="AR10" s="19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143"/>
      <c r="BW10" s="12"/>
    </row>
    <row r="11" spans="1:105" x14ac:dyDescent="0.25">
      <c r="A11" s="140">
        <f t="shared" si="1"/>
        <v>10</v>
      </c>
      <c r="B11" s="7">
        <f>SPC!N$37</f>
        <v>17.236359515325198</v>
      </c>
      <c r="C11" s="3">
        <f t="shared" si="2"/>
        <v>1.3296286545373965</v>
      </c>
      <c r="D11" s="4">
        <f t="shared" si="3"/>
        <v>0.78</v>
      </c>
      <c r="E11" s="3">
        <f t="shared" si="0"/>
        <v>0.90817967389589449</v>
      </c>
      <c r="F11" s="3">
        <f t="shared" si="4"/>
        <v>90.817967389589455</v>
      </c>
      <c r="G11" s="4"/>
      <c r="H11" s="4"/>
      <c r="I11" s="4"/>
      <c r="J11" s="142"/>
      <c r="K11" s="142"/>
      <c r="L11" s="5"/>
      <c r="M11" s="149"/>
      <c r="P11" s="127"/>
      <c r="Q11" s="166"/>
      <c r="R11" s="88" t="str">
        <f ca="1">IF(SPC!X7&gt;=1,1,"")</f>
        <v/>
      </c>
      <c r="S11" s="88">
        <f ca="1">IF(SPC!Z7&gt;=1,1,"")</f>
        <v>1</v>
      </c>
      <c r="T11" s="88"/>
      <c r="U11" s="88"/>
      <c r="V11" s="23">
        <v>4</v>
      </c>
      <c r="W11" s="33">
        <v>0.72899999999999998</v>
      </c>
      <c r="X11" s="23">
        <v>0</v>
      </c>
      <c r="Y11" s="33">
        <v>2.282</v>
      </c>
      <c r="Z11" s="101">
        <v>2.0590000000000002</v>
      </c>
      <c r="AA11" s="34">
        <v>1.4570000000000001</v>
      </c>
      <c r="AB11" s="100">
        <v>0</v>
      </c>
      <c r="AC11" s="100">
        <v>2.282</v>
      </c>
      <c r="AD11" s="103">
        <v>2.0590000000000002</v>
      </c>
      <c r="AE11" s="38">
        <v>0.79600000000000004</v>
      </c>
      <c r="AF11" s="36">
        <v>0</v>
      </c>
      <c r="AG11" s="37">
        <v>2.282</v>
      </c>
      <c r="AH11" s="37">
        <v>2.0590000000000002</v>
      </c>
      <c r="AI11" s="88"/>
      <c r="AJ11" s="88"/>
      <c r="AK11" s="88"/>
      <c r="AL11" s="88"/>
      <c r="AM11" s="88"/>
      <c r="AN11" s="88"/>
      <c r="AO11" s="88"/>
      <c r="AP11" s="88"/>
      <c r="AQ11" s="88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143"/>
      <c r="BW11" s="12"/>
    </row>
    <row r="12" spans="1:105" x14ac:dyDescent="0.25">
      <c r="A12" s="140">
        <f t="shared" si="1"/>
        <v>11</v>
      </c>
      <c r="B12" s="7">
        <f>SPC!T$37</f>
        <v>17.232445480875615</v>
      </c>
      <c r="C12" s="3">
        <f t="shared" si="2"/>
        <v>0.65351435382403833</v>
      </c>
      <c r="D12" s="4">
        <f t="shared" si="3"/>
        <v>0.54</v>
      </c>
      <c r="E12" s="3">
        <f t="shared" si="0"/>
        <v>0.74328763059357206</v>
      </c>
      <c r="F12" s="3">
        <f t="shared" si="4"/>
        <v>74.3287630593572</v>
      </c>
      <c r="G12" s="4"/>
      <c r="H12" s="4"/>
      <c r="I12" s="4"/>
      <c r="J12" s="142"/>
      <c r="K12" s="142"/>
      <c r="L12" s="5"/>
      <c r="M12" s="149"/>
      <c r="P12" s="127"/>
      <c r="Q12" s="166"/>
      <c r="R12" s="88" t="str">
        <f>IF(SPC!X8&gt;=7,1,"")</f>
        <v/>
      </c>
      <c r="S12" s="88" t="str">
        <f>IF(SPC!Z8&gt;=7,1,"")</f>
        <v/>
      </c>
      <c r="T12" s="88"/>
      <c r="U12" s="88"/>
      <c r="V12" s="23">
        <v>5</v>
      </c>
      <c r="W12" s="33">
        <v>0.57699999999999996</v>
      </c>
      <c r="X12" s="23">
        <v>0</v>
      </c>
      <c r="Y12" s="33">
        <v>2.1139999999999999</v>
      </c>
      <c r="Z12" s="101">
        <v>2.3260000000000001</v>
      </c>
      <c r="AA12" s="34">
        <v>1.29</v>
      </c>
      <c r="AB12" s="100">
        <v>0</v>
      </c>
      <c r="AC12" s="100">
        <v>2.1139999999999999</v>
      </c>
      <c r="AD12" s="103">
        <v>2.3260000000000001</v>
      </c>
      <c r="AE12" s="38">
        <v>0.69099999999999995</v>
      </c>
      <c r="AF12" s="36">
        <v>0</v>
      </c>
      <c r="AG12" s="37">
        <v>2.1139999999999999</v>
      </c>
      <c r="AH12" s="37">
        <v>2.3260000000000001</v>
      </c>
      <c r="AI12" s="88"/>
      <c r="AJ12" s="88"/>
      <c r="AK12" s="88"/>
      <c r="AL12" s="88"/>
      <c r="AM12" s="88"/>
      <c r="AN12" s="88"/>
      <c r="AO12" s="88"/>
      <c r="AP12" s="88"/>
      <c r="AQ12" s="88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143"/>
      <c r="BW12" s="12"/>
    </row>
    <row r="13" spans="1:105" x14ac:dyDescent="0.25">
      <c r="A13" s="140">
        <f t="shared" si="1"/>
        <v>12</v>
      </c>
      <c r="B13" s="7">
        <f>SPC!AC$37</f>
        <v>17.222663910821439</v>
      </c>
      <c r="C13" s="3">
        <f t="shared" si="2"/>
        <v>-1.0361640284813074</v>
      </c>
      <c r="D13" s="4">
        <f t="shared" si="3"/>
        <v>0.04</v>
      </c>
      <c r="E13" s="3">
        <f t="shared" si="0"/>
        <v>0.15006281265045684</v>
      </c>
      <c r="F13" s="3">
        <f t="shared" si="4"/>
        <v>15.006281265045684</v>
      </c>
      <c r="G13" s="4"/>
      <c r="H13" s="4"/>
      <c r="I13" s="4"/>
      <c r="J13" s="142"/>
      <c r="K13" s="142"/>
      <c r="L13" s="5"/>
      <c r="M13" s="149"/>
      <c r="P13" s="127"/>
      <c r="Q13" s="166"/>
      <c r="R13" s="88" t="str">
        <f>IF(SPC!X9&gt;=7,1,"")</f>
        <v/>
      </c>
      <c r="S13" s="88" t="str">
        <f>IF(SPC!Z9&gt;=7,1,"")</f>
        <v/>
      </c>
      <c r="T13" s="88"/>
      <c r="U13" s="88"/>
      <c r="V13" s="45"/>
      <c r="W13" s="45"/>
      <c r="X13" s="45"/>
      <c r="Y13" s="45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143"/>
      <c r="BW13" s="12"/>
    </row>
    <row r="14" spans="1:105" x14ac:dyDescent="0.25">
      <c r="A14" s="140">
        <f t="shared" si="1"/>
        <v>13</v>
      </c>
      <c r="B14" s="7">
        <f>SPC!AA$37</f>
        <v>17.223772299417032</v>
      </c>
      <c r="C14" s="3">
        <f t="shared" si="2"/>
        <v>-0.84469985260820879</v>
      </c>
      <c r="D14" s="4">
        <f t="shared" si="3"/>
        <v>0.28000000000000003</v>
      </c>
      <c r="E14" s="3">
        <f t="shared" si="0"/>
        <v>0.19913922089758435</v>
      </c>
      <c r="F14" s="3">
        <f t="shared" si="4"/>
        <v>19.913922089758433</v>
      </c>
      <c r="G14" s="4"/>
      <c r="H14" s="4"/>
      <c r="I14" s="4"/>
      <c r="J14" s="142"/>
      <c r="K14" s="142"/>
      <c r="L14" s="5"/>
      <c r="M14" s="149"/>
      <c r="P14" s="107"/>
      <c r="Q14" s="167"/>
      <c r="R14" s="88"/>
      <c r="S14" s="88"/>
      <c r="T14" s="88"/>
      <c r="U14" s="88"/>
      <c r="V14" s="88"/>
      <c r="W14" s="88"/>
      <c r="X14" s="88"/>
      <c r="Y14" s="88"/>
      <c r="Z14" s="88"/>
      <c r="AA14" s="45"/>
      <c r="AB14" s="50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143"/>
      <c r="BW14" s="12"/>
    </row>
    <row r="15" spans="1:105" x14ac:dyDescent="0.25">
      <c r="A15" s="140">
        <f t="shared" si="1"/>
        <v>14</v>
      </c>
      <c r="B15" s="7">
        <f>SPC!K$37</f>
        <v>17.223772299417032</v>
      </c>
      <c r="C15" s="3">
        <f t="shared" si="2"/>
        <v>-0.84469985260820879</v>
      </c>
      <c r="D15" s="4">
        <f t="shared" si="3"/>
        <v>0.28000000000000003</v>
      </c>
      <c r="E15" s="3">
        <f t="shared" si="0"/>
        <v>0.19913922089758435</v>
      </c>
      <c r="F15" s="3">
        <f t="shared" si="4"/>
        <v>19.913922089758433</v>
      </c>
      <c r="G15" s="4"/>
      <c r="H15" s="4"/>
      <c r="I15" s="4"/>
      <c r="J15" s="142"/>
      <c r="K15" s="142"/>
      <c r="L15" s="5"/>
      <c r="M15" s="149"/>
      <c r="P15" s="116"/>
      <c r="Q15" s="168"/>
      <c r="R15" s="392">
        <f ca="1">SUM(R7:S13)</f>
        <v>1</v>
      </c>
      <c r="S15" s="392"/>
      <c r="T15" s="88"/>
      <c r="U15" s="88"/>
      <c r="V15" s="45" t="s">
        <v>148</v>
      </c>
      <c r="W15" s="45">
        <f>IF(SPC!$P$5=2,W9,IF(SPC!$P$5=3,W10,IF(SPC!$P$5=4,W11,IF(SPC!$P$5=5,W12,""))))</f>
        <v>0.57699999999999996</v>
      </c>
      <c r="X15" s="45">
        <f>IF(SPC!$P$5&lt;6,0,"")</f>
        <v>0</v>
      </c>
      <c r="Y15" s="45">
        <f>IF(SPC!$P$5=2,Y9,IF(SPC!$P$5=3,Y10,IF(SPC!$P$5=4,Y11,IF(SPC!$P$5=5,Y12,""))))</f>
        <v>2.1139999999999999</v>
      </c>
      <c r="Z15" s="45">
        <f>IF(SPC!$P$5=2,Z9,IF(SPC!$P$5=3,Z10,IF(SPC!$P$5=4,Z11,IF(SPC!$P$5=5,Z12,""))))</f>
        <v>2.3260000000000001</v>
      </c>
      <c r="AA15" s="45" t="str">
        <f>IF(Formule!K1=2,AA9,"")</f>
        <v/>
      </c>
      <c r="AB15" s="45">
        <f>IF(SPC!$P$5&lt;6,0,"")</f>
        <v>0</v>
      </c>
      <c r="AC15" s="45" t="str">
        <f>IF(Formule!K1=2,AC9,"")</f>
        <v/>
      </c>
      <c r="AD15" s="45" t="str">
        <f>IF(Formule!K1=2,AD9,"")</f>
        <v/>
      </c>
      <c r="AE15" s="45">
        <f>IF(SPC!$P$5=2,AE9,IF(SPC!$P$5=3,AE10,IF(SPC!$P$5=4,AE11,IF(SPC!$P$5=5,AE12,""))))</f>
        <v>0.69099999999999995</v>
      </c>
      <c r="AF15" s="45">
        <f>IF(SPC!$P$5&lt;6,0,"")</f>
        <v>0</v>
      </c>
      <c r="AG15" s="45">
        <f>IF(SPC!$P$5=2,AG9,IF(SPC!$P$5=3,AG10,IF(SPC!$P$5=4,AG11,IF(SPC!$P$5=5,AG12,""))))</f>
        <v>2.1139999999999999</v>
      </c>
      <c r="AH15" s="45">
        <f>IF(SPC!$P$5=2,AH9,IF(SPC!$P$5=3,AH10,IF(SPC!$P$5=4,AH11,IF(SPC!$P$5=5,AH12,""))))</f>
        <v>2.3260000000000001</v>
      </c>
      <c r="AI15" s="88"/>
      <c r="AJ15" s="88"/>
      <c r="AK15" s="88"/>
      <c r="AL15" s="88"/>
      <c r="AM15" s="88"/>
      <c r="AN15" s="88"/>
      <c r="AO15" s="88"/>
      <c r="AP15" s="88"/>
      <c r="AQ15" s="88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143"/>
      <c r="BW15" s="12"/>
    </row>
    <row r="16" spans="1:105" x14ac:dyDescent="0.25">
      <c r="A16" s="140">
        <f t="shared" si="1"/>
        <v>15</v>
      </c>
      <c r="B16" s="7">
        <f>SPC!S$37</f>
        <v>17.223772299417032</v>
      </c>
      <c r="C16" s="3">
        <f t="shared" si="2"/>
        <v>-0.84469985260820879</v>
      </c>
      <c r="D16" s="4">
        <f t="shared" si="3"/>
        <v>0.28000000000000003</v>
      </c>
      <c r="E16" s="3">
        <f t="shared" si="0"/>
        <v>0.19913922089758435</v>
      </c>
      <c r="F16" s="3">
        <f t="shared" si="4"/>
        <v>19.913922089758433</v>
      </c>
      <c r="G16" s="4"/>
      <c r="H16" s="4"/>
      <c r="I16" s="4"/>
      <c r="J16" s="142"/>
      <c r="K16" s="142"/>
      <c r="L16" s="5"/>
      <c r="M16" s="149"/>
      <c r="P16" s="106"/>
      <c r="Q16" s="144"/>
      <c r="R16" s="88"/>
      <c r="S16" s="88"/>
      <c r="T16" s="88"/>
      <c r="U16" s="88"/>
      <c r="V16" s="164"/>
      <c r="W16" s="164"/>
      <c r="X16" s="164"/>
      <c r="Y16" s="164"/>
      <c r="Z16" s="20"/>
      <c r="AA16" s="20"/>
      <c r="AB16" s="20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19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143"/>
      <c r="BW16" s="12"/>
    </row>
    <row r="17" spans="1:75" x14ac:dyDescent="0.25">
      <c r="A17" s="140">
        <f t="shared" si="1"/>
        <v>16</v>
      </c>
      <c r="B17" s="7">
        <f>SPC!W$37</f>
        <v>17.223772299417032</v>
      </c>
      <c r="C17" s="3">
        <f t="shared" si="2"/>
        <v>-0.84469985260820879</v>
      </c>
      <c r="D17" s="4">
        <f t="shared" si="3"/>
        <v>0.28000000000000003</v>
      </c>
      <c r="E17" s="3">
        <f t="shared" si="0"/>
        <v>0.19913922089758435</v>
      </c>
      <c r="F17" s="3">
        <f t="shared" si="4"/>
        <v>19.913922089758433</v>
      </c>
      <c r="G17" s="4"/>
      <c r="H17" s="4"/>
      <c r="I17" s="4"/>
      <c r="J17" s="142"/>
      <c r="K17" s="142"/>
      <c r="L17" s="5"/>
      <c r="M17" s="149"/>
      <c r="P17" s="106"/>
      <c r="Q17" s="144"/>
      <c r="R17" s="88"/>
      <c r="S17" s="88"/>
      <c r="T17" s="88"/>
      <c r="U17" s="88"/>
      <c r="V17" s="164"/>
      <c r="W17" s="164"/>
      <c r="X17" s="164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143"/>
      <c r="BW17" s="12"/>
    </row>
    <row r="18" spans="1:75" x14ac:dyDescent="0.25">
      <c r="A18" s="140">
        <f t="shared" si="1"/>
        <v>17</v>
      </c>
      <c r="B18" s="7">
        <f>SPC!Q$37</f>
        <v>17.222663910821439</v>
      </c>
      <c r="C18" s="3">
        <f t="shared" si="2"/>
        <v>-1.0361640284813074</v>
      </c>
      <c r="D18" s="4">
        <f t="shared" si="3"/>
        <v>0.04</v>
      </c>
      <c r="E18" s="3">
        <f t="shared" si="0"/>
        <v>0.15006281265045684</v>
      </c>
      <c r="F18" s="3">
        <f t="shared" si="4"/>
        <v>15.006281265045684</v>
      </c>
      <c r="G18" s="4"/>
      <c r="H18" s="4"/>
      <c r="I18" s="4"/>
      <c r="J18" s="142"/>
      <c r="K18" s="142"/>
      <c r="L18" s="5"/>
      <c r="M18" s="149"/>
      <c r="P18" s="106"/>
      <c r="Q18" s="144"/>
      <c r="R18" s="88"/>
      <c r="S18" s="88"/>
      <c r="T18" s="88"/>
      <c r="U18" s="88"/>
      <c r="V18" s="164"/>
      <c r="W18" s="164"/>
      <c r="X18" s="164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143"/>
      <c r="BW18" s="12"/>
    </row>
    <row r="19" spans="1:75" x14ac:dyDescent="0.25">
      <c r="A19" s="140">
        <f t="shared" si="1"/>
        <v>18</v>
      </c>
      <c r="B19" s="7">
        <f>SPC!X$37</f>
        <v>17.232445480875615</v>
      </c>
      <c r="C19" s="3">
        <f t="shared" si="2"/>
        <v>0.65351435382403833</v>
      </c>
      <c r="D19" s="4">
        <f t="shared" si="3"/>
        <v>0.54</v>
      </c>
      <c r="E19" s="3">
        <f t="shared" si="0"/>
        <v>0.74328763059357206</v>
      </c>
      <c r="F19" s="3">
        <f t="shared" si="4"/>
        <v>74.3287630593572</v>
      </c>
      <c r="G19" s="4"/>
      <c r="H19" s="4"/>
      <c r="I19" s="4"/>
      <c r="J19" s="142"/>
      <c r="K19" s="142"/>
      <c r="L19" s="5"/>
      <c r="M19" s="149"/>
      <c r="P19" s="106"/>
      <c r="Q19" s="144"/>
      <c r="R19" s="88"/>
      <c r="S19" s="88"/>
      <c r="T19" s="88"/>
      <c r="U19" s="88"/>
      <c r="V19" s="164"/>
      <c r="W19" s="164"/>
      <c r="X19" s="164"/>
      <c r="Y19" s="164"/>
      <c r="Z19" s="20"/>
      <c r="AA19" s="20"/>
      <c r="AB19" s="20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26"/>
      <c r="AS19" s="26"/>
      <c r="AT19" s="26"/>
      <c r="BU19" s="88"/>
      <c r="BV19" s="143"/>
      <c r="BW19" s="12"/>
    </row>
    <row r="20" spans="1:75" x14ac:dyDescent="0.25">
      <c r="A20" s="140">
        <f t="shared" si="1"/>
        <v>19</v>
      </c>
      <c r="B20" s="7">
        <f>SPC!L$37</f>
        <v>17.232445480875615</v>
      </c>
      <c r="C20" s="3">
        <f t="shared" si="2"/>
        <v>0.65351435382403833</v>
      </c>
      <c r="D20" s="4">
        <f t="shared" si="3"/>
        <v>0.54</v>
      </c>
      <c r="E20" s="3">
        <f t="shared" si="0"/>
        <v>0.74328763059357206</v>
      </c>
      <c r="F20" s="3">
        <f t="shared" si="4"/>
        <v>74.3287630593572</v>
      </c>
      <c r="G20" s="4"/>
      <c r="H20" s="4"/>
      <c r="I20" s="4"/>
      <c r="J20" s="142"/>
      <c r="K20" s="142"/>
      <c r="L20" s="5"/>
      <c r="M20" s="149"/>
      <c r="P20" s="106"/>
      <c r="Q20" s="144"/>
      <c r="R20" s="88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>
        <f>SPC!K9</f>
        <v>1</v>
      </c>
      <c r="AL20" s="164"/>
      <c r="AM20" s="88"/>
      <c r="AN20" s="88"/>
      <c r="AO20" s="88"/>
      <c r="AP20" s="88"/>
      <c r="AQ20" s="88"/>
      <c r="AR20" s="19"/>
      <c r="AS20" s="26"/>
      <c r="AT20" s="26"/>
      <c r="BU20" s="88"/>
      <c r="BV20" s="143"/>
      <c r="BW20" s="12"/>
    </row>
    <row r="21" spans="1:75" x14ac:dyDescent="0.25">
      <c r="A21" s="140">
        <f t="shared" si="1"/>
        <v>20</v>
      </c>
      <c r="B21" s="7">
        <f>SPC!R$37</f>
        <v>17.236359515325198</v>
      </c>
      <c r="C21" s="3">
        <f t="shared" si="2"/>
        <v>1.3296286545373965</v>
      </c>
      <c r="D21" s="4">
        <f t="shared" si="3"/>
        <v>0.78</v>
      </c>
      <c r="E21" s="3">
        <f t="shared" si="0"/>
        <v>0.90817967389589449</v>
      </c>
      <c r="F21" s="3">
        <f t="shared" si="4"/>
        <v>90.817967389589455</v>
      </c>
      <c r="G21" s="4"/>
      <c r="H21" s="4"/>
      <c r="I21" s="4"/>
      <c r="J21" s="142"/>
      <c r="K21" s="142"/>
      <c r="L21" s="5"/>
      <c r="M21" s="149"/>
      <c r="P21" s="106"/>
      <c r="Q21" s="144"/>
      <c r="R21" s="88"/>
      <c r="S21" s="164"/>
      <c r="T21" s="164"/>
      <c r="U21" s="164"/>
      <c r="V21" s="169"/>
      <c r="W21" s="169"/>
      <c r="X21" s="169"/>
      <c r="Y21" s="164"/>
      <c r="Z21" s="164"/>
      <c r="AA21" s="164"/>
      <c r="AB21" s="164"/>
      <c r="AC21" s="164"/>
      <c r="AD21" s="164"/>
      <c r="AE21" s="164">
        <f t="shared" ref="AE21:AE31" si="5">AVERAGE(AF21:AG21)</f>
        <v>17.099999999999998</v>
      </c>
      <c r="AF21" s="164">
        <f>AG21-AJ36</f>
        <v>17.079999999999998</v>
      </c>
      <c r="AG21" s="164">
        <f>AJ33</f>
        <v>17.119999999999997</v>
      </c>
      <c r="AH21" s="164">
        <f ca="1">COUNTIF(SPC!$C$32:$BA$36,"&lt;="&amp;INDIRECT(AI21))</f>
        <v>0</v>
      </c>
      <c r="AI21" s="164" t="s">
        <v>201</v>
      </c>
      <c r="AJ21" s="164">
        <v>0</v>
      </c>
      <c r="AK21" s="164" t="s">
        <v>34</v>
      </c>
      <c r="AL21" s="164"/>
      <c r="AM21" s="88"/>
      <c r="AN21" s="88"/>
      <c r="AO21" s="88"/>
      <c r="AP21" s="88"/>
      <c r="AQ21" s="88"/>
      <c r="AR21" s="26"/>
      <c r="AS21" s="26"/>
      <c r="AT21" s="26"/>
      <c r="BU21" s="88"/>
      <c r="BV21" s="143"/>
      <c r="BW21" s="12"/>
    </row>
    <row r="22" spans="1:75" x14ac:dyDescent="0.25">
      <c r="A22" s="140">
        <f t="shared" si="1"/>
        <v>21</v>
      </c>
      <c r="B22" s="7">
        <f>SPC!C$37</f>
        <v>17.223772299417032</v>
      </c>
      <c r="C22" s="3">
        <f t="shared" si="2"/>
        <v>-0.84469985260820879</v>
      </c>
      <c r="D22" s="4">
        <f t="shared" si="3"/>
        <v>0.28000000000000003</v>
      </c>
      <c r="E22" s="3">
        <f t="shared" si="0"/>
        <v>0.19913922089758435</v>
      </c>
      <c r="F22" s="3">
        <f t="shared" si="4"/>
        <v>19.913922089758433</v>
      </c>
      <c r="G22" s="4"/>
      <c r="H22" s="4"/>
      <c r="I22" s="4"/>
      <c r="J22" s="142"/>
      <c r="K22" s="142"/>
      <c r="L22" s="5"/>
      <c r="M22" s="149"/>
      <c r="P22" s="106"/>
      <c r="Q22" s="144"/>
      <c r="R22" s="88"/>
      <c r="S22" s="164"/>
      <c r="T22" s="164"/>
      <c r="U22" s="164"/>
      <c r="V22" s="169"/>
      <c r="W22" s="169"/>
      <c r="X22" s="169"/>
      <c r="Y22" s="164"/>
      <c r="Z22" s="164"/>
      <c r="AA22" s="164"/>
      <c r="AB22" s="164"/>
      <c r="AC22" s="164"/>
      <c r="AD22" s="164"/>
      <c r="AE22" s="164">
        <f t="shared" si="5"/>
        <v>17.139999999999997</v>
      </c>
      <c r="AF22" s="164">
        <f t="shared" ref="AF22:AF31" si="6">AG21</f>
        <v>17.119999999999997</v>
      </c>
      <c r="AG22" s="164">
        <f t="shared" ref="AG22:AG31" si="7">AF22+$AJ$36</f>
        <v>17.159999999999997</v>
      </c>
      <c r="AH22" s="164">
        <f ca="1">COUNTIF(SPC!$C$32:$BA$36,"&lt;="&amp;INDIRECT(AI22))</f>
        <v>0</v>
      </c>
      <c r="AI22" s="164" t="s">
        <v>202</v>
      </c>
      <c r="AJ22" s="164">
        <f t="shared" ref="AJ22:AJ31" ca="1" si="8">AH22-AH21</f>
        <v>0</v>
      </c>
      <c r="AK22" s="164" t="s">
        <v>43</v>
      </c>
      <c r="AL22" s="164"/>
      <c r="AM22" s="88"/>
      <c r="AN22" s="88"/>
      <c r="AO22" s="88"/>
      <c r="AP22" s="88"/>
      <c r="AQ22" s="88"/>
      <c r="AR22" s="26"/>
      <c r="AS22" s="26"/>
      <c r="AT22" s="26"/>
      <c r="BU22" s="88"/>
      <c r="BV22" s="143"/>
      <c r="BW22" s="12"/>
    </row>
    <row r="23" spans="1:75" x14ac:dyDescent="0.25">
      <c r="A23" s="140">
        <f t="shared" si="1"/>
        <v>22</v>
      </c>
      <c r="B23" s="7">
        <f>SPC!E$37</f>
        <v>17.222663910821439</v>
      </c>
      <c r="C23" s="3">
        <f t="shared" si="2"/>
        <v>-1.0361640284813074</v>
      </c>
      <c r="D23" s="4">
        <f t="shared" si="3"/>
        <v>0.04</v>
      </c>
      <c r="E23" s="3">
        <f t="shared" si="0"/>
        <v>0.15006281265045684</v>
      </c>
      <c r="F23" s="3">
        <f t="shared" si="4"/>
        <v>15.006281265045684</v>
      </c>
      <c r="G23" s="4"/>
      <c r="H23" s="4"/>
      <c r="I23" s="4"/>
      <c r="J23" s="142"/>
      <c r="K23" s="142"/>
      <c r="L23" s="5"/>
      <c r="M23" s="149"/>
      <c r="P23" s="106"/>
      <c r="Q23" s="144"/>
      <c r="R23" s="88"/>
      <c r="S23" s="164"/>
      <c r="T23" s="164"/>
      <c r="U23" s="164"/>
      <c r="V23" s="169"/>
      <c r="W23" s="169"/>
      <c r="X23" s="169"/>
      <c r="Y23" s="164"/>
      <c r="Z23" s="164"/>
      <c r="AA23" s="164"/>
      <c r="AB23" s="164"/>
      <c r="AC23" s="164"/>
      <c r="AD23" s="164"/>
      <c r="AE23" s="164">
        <f t="shared" si="5"/>
        <v>17.179999999999996</v>
      </c>
      <c r="AF23" s="164">
        <f t="shared" si="6"/>
        <v>17.159999999999997</v>
      </c>
      <c r="AG23" s="164">
        <f t="shared" si="7"/>
        <v>17.199999999999996</v>
      </c>
      <c r="AH23" s="164">
        <f ca="1">COUNTIF(SPC!$C$32:$BA$36,"&lt;="&amp;INDIRECT(AI23))</f>
        <v>0</v>
      </c>
      <c r="AI23" s="164" t="s">
        <v>203</v>
      </c>
      <c r="AJ23" s="164">
        <f t="shared" ca="1" si="8"/>
        <v>0</v>
      </c>
      <c r="AK23" s="164" t="s">
        <v>46</v>
      </c>
      <c r="AL23" s="164"/>
      <c r="AM23" s="88"/>
      <c r="AN23" s="88"/>
      <c r="AO23" s="88"/>
      <c r="AP23" s="88"/>
      <c r="AQ23" s="88"/>
      <c r="AR23" s="26"/>
      <c r="AS23" s="26"/>
      <c r="AT23" s="26"/>
      <c r="BU23" s="88"/>
      <c r="BV23" s="143"/>
      <c r="BW23" s="12"/>
    </row>
    <row r="24" spans="1:75" x14ac:dyDescent="0.25">
      <c r="A24" s="140">
        <f t="shared" si="1"/>
        <v>23</v>
      </c>
      <c r="B24" s="7">
        <f>SPC!F$37</f>
        <v>17.236359515325198</v>
      </c>
      <c r="C24" s="3">
        <f t="shared" si="2"/>
        <v>1.3296286545373965</v>
      </c>
      <c r="D24" s="4">
        <f t="shared" si="3"/>
        <v>0.78</v>
      </c>
      <c r="E24" s="3">
        <f t="shared" si="0"/>
        <v>0.90817967389589449</v>
      </c>
      <c r="F24" s="3">
        <f t="shared" si="4"/>
        <v>90.817967389589455</v>
      </c>
      <c r="G24" s="4"/>
      <c r="H24" s="4"/>
      <c r="I24" s="4"/>
      <c r="J24" s="142"/>
      <c r="K24" s="142"/>
      <c r="L24" s="5"/>
      <c r="M24" s="149"/>
      <c r="P24" s="106"/>
      <c r="Q24" s="144"/>
      <c r="R24" s="88"/>
      <c r="S24" s="164"/>
      <c r="T24" s="164"/>
      <c r="U24" s="164"/>
      <c r="V24" s="169"/>
      <c r="W24" s="169"/>
      <c r="X24" s="169"/>
      <c r="Y24" s="164"/>
      <c r="Z24" s="164"/>
      <c r="AA24" s="164"/>
      <c r="AB24" s="164"/>
      <c r="AC24" s="164"/>
      <c r="AD24" s="164"/>
      <c r="AE24" s="164">
        <f t="shared" si="5"/>
        <v>17.219999999999995</v>
      </c>
      <c r="AF24" s="164">
        <f t="shared" si="6"/>
        <v>17.199999999999996</v>
      </c>
      <c r="AG24" s="164">
        <f t="shared" si="7"/>
        <v>17.239999999999995</v>
      </c>
      <c r="AH24" s="164">
        <f ca="1">COUNTIF(SPC!$C$32:$BA$36,"&lt;="&amp;INDIRECT(AI24))</f>
        <v>0</v>
      </c>
      <c r="AI24" s="164" t="s">
        <v>204</v>
      </c>
      <c r="AJ24" s="164">
        <f t="shared" ca="1" si="8"/>
        <v>0</v>
      </c>
      <c r="AK24" s="164" t="s">
        <v>48</v>
      </c>
      <c r="AL24" s="164"/>
      <c r="AM24" s="88"/>
      <c r="AN24" s="88"/>
      <c r="AO24" s="88"/>
      <c r="AP24" s="88"/>
      <c r="AQ24" s="88"/>
      <c r="AR24" s="19"/>
      <c r="AS24" s="20"/>
      <c r="AT24" s="20"/>
      <c r="BU24" s="88"/>
      <c r="BV24" s="143"/>
      <c r="BW24" s="12"/>
    </row>
    <row r="25" spans="1:75" x14ac:dyDescent="0.25">
      <c r="A25" s="140">
        <f t="shared" si="1"/>
        <v>24</v>
      </c>
      <c r="B25" s="7">
        <f>SPC!O$37</f>
        <v>17.223772299417032</v>
      </c>
      <c r="C25" s="3">
        <f t="shared" si="2"/>
        <v>-0.84469985260820879</v>
      </c>
      <c r="D25" s="4">
        <f t="shared" si="3"/>
        <v>0.28000000000000003</v>
      </c>
      <c r="E25" s="3">
        <f t="shared" si="0"/>
        <v>0.19913922089758435</v>
      </c>
      <c r="F25" s="3">
        <f t="shared" si="4"/>
        <v>19.913922089758433</v>
      </c>
      <c r="G25" s="4"/>
      <c r="H25" s="4"/>
      <c r="I25" s="4"/>
      <c r="J25" s="142"/>
      <c r="K25" s="142"/>
      <c r="L25" s="5"/>
      <c r="M25" s="149"/>
      <c r="P25" s="116"/>
      <c r="Q25" s="168"/>
      <c r="R25" s="88"/>
      <c r="S25" s="164"/>
      <c r="T25" s="164"/>
      <c r="U25" s="164"/>
      <c r="V25" s="169"/>
      <c r="W25" s="169"/>
      <c r="X25" s="169"/>
      <c r="Y25" s="164"/>
      <c r="Z25" s="164"/>
      <c r="AA25" s="164"/>
      <c r="AB25" s="164"/>
      <c r="AC25" s="164"/>
      <c r="AD25" s="164"/>
      <c r="AE25" s="164">
        <f t="shared" si="5"/>
        <v>17.259999999999994</v>
      </c>
      <c r="AF25" s="164">
        <f t="shared" si="6"/>
        <v>17.239999999999995</v>
      </c>
      <c r="AG25" s="164">
        <f t="shared" si="7"/>
        <v>17.279999999999994</v>
      </c>
      <c r="AH25" s="164">
        <f ca="1">COUNTIF(SPC!$C$32:$BA$36,"&lt;="&amp;INDIRECT(AI25))</f>
        <v>0</v>
      </c>
      <c r="AI25" s="164" t="s">
        <v>205</v>
      </c>
      <c r="AJ25" s="164">
        <f t="shared" ca="1" si="8"/>
        <v>0</v>
      </c>
      <c r="AK25" s="164"/>
      <c r="AL25" s="164"/>
      <c r="AM25" s="88"/>
      <c r="AN25" s="88"/>
      <c r="AO25" s="88"/>
      <c r="AP25" s="88"/>
      <c r="AQ25" s="88"/>
      <c r="AR25" s="26"/>
      <c r="AS25" s="26"/>
      <c r="AT25" s="26"/>
      <c r="BU25" s="88"/>
      <c r="BV25" s="143"/>
      <c r="BW25" s="12"/>
    </row>
    <row r="26" spans="1:75" x14ac:dyDescent="0.25">
      <c r="A26" s="140">
        <f t="shared" si="1"/>
        <v>25</v>
      </c>
      <c r="B26" s="7">
        <f>SPC!D$37</f>
        <v>17.232445480875615</v>
      </c>
      <c r="C26" s="3">
        <f t="shared" si="2"/>
        <v>0.65351435382403833</v>
      </c>
      <c r="D26" s="4">
        <f t="shared" si="3"/>
        <v>0.54</v>
      </c>
      <c r="E26" s="3">
        <f t="shared" si="0"/>
        <v>0.74328763059357206</v>
      </c>
      <c r="F26" s="3">
        <f t="shared" si="4"/>
        <v>74.3287630593572</v>
      </c>
      <c r="G26" s="4"/>
      <c r="H26" s="4"/>
      <c r="I26" s="4"/>
      <c r="J26" s="142"/>
      <c r="K26" s="142"/>
      <c r="L26" s="5"/>
      <c r="M26" s="149"/>
      <c r="P26" s="106"/>
      <c r="Q26" s="144"/>
      <c r="R26" s="88"/>
      <c r="S26" s="164"/>
      <c r="T26" s="164"/>
      <c r="U26" s="164"/>
      <c r="V26" s="169"/>
      <c r="W26" s="169"/>
      <c r="X26" s="169"/>
      <c r="Y26" s="164"/>
      <c r="Z26" s="164"/>
      <c r="AA26" s="164"/>
      <c r="AB26" s="164"/>
      <c r="AC26" s="164"/>
      <c r="AD26" s="164"/>
      <c r="AE26" s="164">
        <f t="shared" si="5"/>
        <v>17.299999999999994</v>
      </c>
      <c r="AF26" s="164">
        <f t="shared" si="6"/>
        <v>17.279999999999994</v>
      </c>
      <c r="AG26" s="164">
        <f t="shared" si="7"/>
        <v>17.319999999999993</v>
      </c>
      <c r="AH26" s="164">
        <f ca="1">COUNTIF(SPC!$C$32:$BA$36,"&lt;="&amp;INDIRECT(AI26))</f>
        <v>0</v>
      </c>
      <c r="AI26" s="164" t="s">
        <v>206</v>
      </c>
      <c r="AJ26" s="164">
        <f t="shared" ca="1" si="8"/>
        <v>0</v>
      </c>
      <c r="AK26" s="164"/>
      <c r="AL26" s="164"/>
      <c r="AM26" s="88"/>
      <c r="AN26" s="88"/>
      <c r="AO26" s="88"/>
      <c r="AP26" s="88"/>
      <c r="AQ26" s="88"/>
      <c r="AR26" s="26"/>
      <c r="AS26" s="26"/>
      <c r="AT26" s="26"/>
      <c r="BU26" s="88"/>
      <c r="BV26" s="143"/>
      <c r="BW26" s="12"/>
    </row>
    <row r="27" spans="1:75" x14ac:dyDescent="0.25">
      <c r="A27" s="140">
        <f t="shared" si="1"/>
        <v>26</v>
      </c>
      <c r="B27" s="7">
        <f>SPC!P$37</f>
        <v>17.232445480875615</v>
      </c>
      <c r="C27" s="3">
        <f t="shared" si="2"/>
        <v>0.65351435382403833</v>
      </c>
      <c r="D27" s="4">
        <f t="shared" si="3"/>
        <v>0.54</v>
      </c>
      <c r="E27" s="3">
        <f t="shared" si="0"/>
        <v>0.74328763059357206</v>
      </c>
      <c r="F27" s="3">
        <f t="shared" si="4"/>
        <v>74.3287630593572</v>
      </c>
      <c r="G27" s="142"/>
      <c r="H27" s="142"/>
      <c r="I27" s="142"/>
      <c r="J27" s="142"/>
      <c r="K27" s="142"/>
      <c r="L27" s="5"/>
      <c r="M27" s="149"/>
      <c r="P27" s="106"/>
      <c r="Q27" s="144"/>
      <c r="R27" s="88"/>
      <c r="S27" s="164"/>
      <c r="T27" s="164"/>
      <c r="U27" s="164"/>
      <c r="V27" s="169"/>
      <c r="W27" s="169"/>
      <c r="X27" s="169"/>
      <c r="Y27" s="164"/>
      <c r="Z27" s="164"/>
      <c r="AA27" s="164"/>
      <c r="AB27" s="164"/>
      <c r="AC27" s="164"/>
      <c r="AD27" s="164"/>
      <c r="AE27" s="164">
        <f t="shared" si="5"/>
        <v>17.339999999999993</v>
      </c>
      <c r="AF27" s="164">
        <f t="shared" si="6"/>
        <v>17.319999999999993</v>
      </c>
      <c r="AG27" s="164">
        <f t="shared" si="7"/>
        <v>17.359999999999992</v>
      </c>
      <c r="AH27" s="164">
        <f ca="1">COUNTIF(SPC!$C$32:$BA$36,"&lt;="&amp;INDIRECT(AI27))</f>
        <v>0</v>
      </c>
      <c r="AI27" s="164" t="s">
        <v>207</v>
      </c>
      <c r="AJ27" s="164">
        <f t="shared" ca="1" si="8"/>
        <v>0</v>
      </c>
      <c r="AK27" s="164"/>
      <c r="AL27" s="164"/>
      <c r="AM27" s="88"/>
      <c r="AN27" s="88"/>
      <c r="AO27" s="88"/>
      <c r="AP27" s="88"/>
      <c r="AQ27" s="88"/>
      <c r="AR27" s="26"/>
      <c r="AS27" s="26"/>
      <c r="AT27" s="26"/>
      <c r="BU27" s="88"/>
      <c r="BV27" s="143"/>
      <c r="BW27" s="12"/>
    </row>
    <row r="28" spans="1:75" x14ac:dyDescent="0.25">
      <c r="A28" s="140">
        <f t="shared" si="1"/>
        <v>27</v>
      </c>
      <c r="B28" s="7">
        <f>SPC!AD$37</f>
        <v>17.236359515325198</v>
      </c>
      <c r="C28" s="3">
        <f t="shared" si="2"/>
        <v>1.3296286545373965</v>
      </c>
      <c r="D28" s="4">
        <f t="shared" si="3"/>
        <v>0.78</v>
      </c>
      <c r="E28" s="3">
        <f t="shared" si="0"/>
        <v>0.90817967389589449</v>
      </c>
      <c r="F28" s="3">
        <f t="shared" si="4"/>
        <v>90.817967389589455</v>
      </c>
      <c r="G28" s="142"/>
      <c r="H28" s="142"/>
      <c r="I28" s="142"/>
      <c r="J28" s="142"/>
      <c r="K28" s="142"/>
      <c r="L28" s="5"/>
      <c r="M28" s="149"/>
      <c r="P28" s="106"/>
      <c r="Q28" s="144"/>
      <c r="R28" s="88"/>
      <c r="S28" s="164"/>
      <c r="T28" s="164"/>
      <c r="U28" s="164"/>
      <c r="V28" s="169"/>
      <c r="W28" s="169"/>
      <c r="X28" s="169"/>
      <c r="Y28" s="164"/>
      <c r="Z28" s="164"/>
      <c r="AA28" s="164"/>
      <c r="AB28" s="164"/>
      <c r="AC28" s="164"/>
      <c r="AD28" s="164"/>
      <c r="AE28" s="164">
        <f t="shared" si="5"/>
        <v>17.379999999999992</v>
      </c>
      <c r="AF28" s="164">
        <f t="shared" si="6"/>
        <v>17.359999999999992</v>
      </c>
      <c r="AG28" s="164">
        <f t="shared" si="7"/>
        <v>17.399999999999991</v>
      </c>
      <c r="AH28" s="164">
        <f ca="1">COUNTIF(SPC!$C$32:$BA$36,"&lt;="&amp;INDIRECT(AI28))</f>
        <v>0</v>
      </c>
      <c r="AI28" s="164" t="s">
        <v>208</v>
      </c>
      <c r="AJ28" s="164">
        <f t="shared" ca="1" si="8"/>
        <v>0</v>
      </c>
      <c r="AK28" s="164"/>
      <c r="AL28" s="164"/>
      <c r="AM28" s="88"/>
      <c r="AN28" s="88"/>
      <c r="AO28" s="88"/>
      <c r="AP28" s="88"/>
      <c r="AQ28" s="88"/>
      <c r="AR28" s="19"/>
      <c r="AS28" s="20"/>
      <c r="AT28" s="20"/>
      <c r="BU28" s="88"/>
      <c r="BV28" s="143"/>
      <c r="BW28" s="12"/>
    </row>
    <row r="29" spans="1:75" x14ac:dyDescent="0.25">
      <c r="A29" s="140">
        <f t="shared" si="1"/>
        <v>28</v>
      </c>
      <c r="B29" s="7">
        <f>SPC!AE$37</f>
        <v>17.223772299417032</v>
      </c>
      <c r="C29" s="3">
        <f t="shared" si="2"/>
        <v>-0.84469985260820879</v>
      </c>
      <c r="D29" s="4">
        <f t="shared" si="3"/>
        <v>0.28000000000000003</v>
      </c>
      <c r="E29" s="3">
        <f t="shared" si="0"/>
        <v>0.19913922089758435</v>
      </c>
      <c r="F29" s="3">
        <f t="shared" si="4"/>
        <v>19.913922089758433</v>
      </c>
      <c r="G29" s="142"/>
      <c r="H29" s="142"/>
      <c r="I29" s="142"/>
      <c r="J29" s="142"/>
      <c r="K29" s="142"/>
      <c r="L29" s="5"/>
      <c r="M29" s="149"/>
      <c r="P29" s="106"/>
      <c r="Q29" s="144"/>
      <c r="R29" s="88"/>
      <c r="S29" s="164"/>
      <c r="T29" s="164"/>
      <c r="U29" s="164"/>
      <c r="V29" s="169"/>
      <c r="W29" s="169"/>
      <c r="X29" s="169"/>
      <c r="Y29" s="164"/>
      <c r="Z29" s="164"/>
      <c r="AA29" s="164"/>
      <c r="AB29" s="164"/>
      <c r="AC29" s="164"/>
      <c r="AD29" s="164"/>
      <c r="AE29" s="164">
        <f t="shared" si="5"/>
        <v>17.419999999999991</v>
      </c>
      <c r="AF29" s="164">
        <f t="shared" si="6"/>
        <v>17.399999999999991</v>
      </c>
      <c r="AG29" s="164">
        <f t="shared" si="7"/>
        <v>17.439999999999991</v>
      </c>
      <c r="AH29" s="164">
        <f ca="1">COUNTIF(SPC!$C$32:$BA$36,"&lt;="&amp;INDIRECT(AI29))</f>
        <v>0</v>
      </c>
      <c r="AI29" s="164" t="s">
        <v>209</v>
      </c>
      <c r="AJ29" s="164">
        <f t="shared" ca="1" si="8"/>
        <v>0</v>
      </c>
      <c r="AK29" s="164"/>
      <c r="AL29" s="164"/>
      <c r="AM29" s="88"/>
      <c r="AN29" s="88"/>
      <c r="AO29" s="88"/>
      <c r="AP29" s="88"/>
      <c r="AQ29" s="88"/>
      <c r="AR29" s="26"/>
      <c r="AS29" s="26"/>
      <c r="AT29" s="26"/>
      <c r="BU29" s="88"/>
      <c r="BV29" s="143"/>
      <c r="BW29" s="12"/>
    </row>
    <row r="30" spans="1:75" x14ac:dyDescent="0.25">
      <c r="A30" s="140">
        <f t="shared" si="1"/>
        <v>29</v>
      </c>
      <c r="B30" s="7">
        <f>SPC!AF$37</f>
        <v>17.232445480875615</v>
      </c>
      <c r="C30" s="3">
        <f t="shared" si="2"/>
        <v>0.65351435382403833</v>
      </c>
      <c r="D30" s="4">
        <f t="shared" si="3"/>
        <v>0.54</v>
      </c>
      <c r="E30" s="3">
        <f t="shared" si="0"/>
        <v>0.74328763059357206</v>
      </c>
      <c r="F30" s="3">
        <f t="shared" si="4"/>
        <v>74.3287630593572</v>
      </c>
      <c r="G30" s="142"/>
      <c r="H30" s="142"/>
      <c r="I30" s="142"/>
      <c r="J30" s="142"/>
      <c r="K30" s="142"/>
      <c r="L30" s="5"/>
      <c r="M30" s="149"/>
      <c r="P30" s="106"/>
      <c r="Q30" s="144"/>
      <c r="R30" s="88"/>
      <c r="S30" s="164"/>
      <c r="T30" s="164"/>
      <c r="U30" s="164"/>
      <c r="V30" s="169"/>
      <c r="W30" s="169"/>
      <c r="X30" s="169"/>
      <c r="Y30" s="164"/>
      <c r="Z30" s="164"/>
      <c r="AA30" s="164"/>
      <c r="AB30" s="164"/>
      <c r="AC30" s="164"/>
      <c r="AD30" s="164"/>
      <c r="AE30" s="164">
        <f t="shared" si="5"/>
        <v>17.45999999999999</v>
      </c>
      <c r="AF30" s="164">
        <f t="shared" si="6"/>
        <v>17.439999999999991</v>
      </c>
      <c r="AG30" s="164">
        <f t="shared" si="7"/>
        <v>17.47999999999999</v>
      </c>
      <c r="AH30" s="164">
        <f ca="1">COUNTIF(SPC!$C$32:$BA$36,"&lt;="&amp;INDIRECT(AI30))</f>
        <v>0</v>
      </c>
      <c r="AI30" s="164" t="s">
        <v>210</v>
      </c>
      <c r="AJ30" s="164">
        <f t="shared" ca="1" si="8"/>
        <v>0</v>
      </c>
      <c r="AK30" s="164"/>
      <c r="AL30" s="164"/>
      <c r="AM30" s="88"/>
      <c r="AN30" s="88"/>
      <c r="AO30" s="88"/>
      <c r="AP30" s="88"/>
      <c r="AQ30" s="88"/>
      <c r="AR30" s="26"/>
      <c r="AS30" s="26"/>
      <c r="AT30" s="26"/>
      <c r="BU30" s="88"/>
      <c r="BV30" s="143"/>
      <c r="BW30" s="12"/>
    </row>
    <row r="31" spans="1:75" x14ac:dyDescent="0.25">
      <c r="A31" s="140">
        <f t="shared" si="1"/>
        <v>30</v>
      </c>
      <c r="B31" s="7">
        <f>SPC!AG$37</f>
        <v>17.222663910821439</v>
      </c>
      <c r="C31" s="3">
        <f t="shared" si="2"/>
        <v>-1.0361640284813074</v>
      </c>
      <c r="D31" s="4">
        <f t="shared" si="3"/>
        <v>0.04</v>
      </c>
      <c r="E31" s="3">
        <f t="shared" si="0"/>
        <v>0.15006281265045684</v>
      </c>
      <c r="F31" s="3">
        <f t="shared" si="4"/>
        <v>15.006281265045684</v>
      </c>
      <c r="G31" s="142"/>
      <c r="H31" s="142"/>
      <c r="I31" s="142"/>
      <c r="J31" s="142"/>
      <c r="K31" s="142"/>
      <c r="L31" s="5"/>
      <c r="M31" s="149"/>
      <c r="P31" s="106"/>
      <c r="Q31" s="144"/>
      <c r="R31" s="88"/>
      <c r="S31" s="169"/>
      <c r="T31" s="164"/>
      <c r="U31" s="164"/>
      <c r="V31" s="169"/>
      <c r="W31" s="169"/>
      <c r="X31" s="169"/>
      <c r="Y31" s="164"/>
      <c r="Z31" s="164"/>
      <c r="AA31" s="164"/>
      <c r="AB31" s="164"/>
      <c r="AC31" s="164"/>
      <c r="AD31" s="164"/>
      <c r="AE31" s="164">
        <f t="shared" si="5"/>
        <v>17.499999999999989</v>
      </c>
      <c r="AF31" s="164">
        <f t="shared" si="6"/>
        <v>17.47999999999999</v>
      </c>
      <c r="AG31" s="164">
        <f t="shared" si="7"/>
        <v>17.519999999999989</v>
      </c>
      <c r="AH31" s="164">
        <f ca="1">COUNTIF(SPC!$C$32:$BA$36,"&lt;="&amp;INDIRECT(AI31))</f>
        <v>0</v>
      </c>
      <c r="AI31" s="164" t="s">
        <v>211</v>
      </c>
      <c r="AJ31" s="164">
        <f t="shared" ca="1" si="8"/>
        <v>0</v>
      </c>
      <c r="AK31" s="164"/>
      <c r="AL31" s="164"/>
      <c r="AM31" s="88"/>
      <c r="AN31" s="88"/>
      <c r="AO31" s="88"/>
      <c r="AP31" s="88"/>
      <c r="AQ31" s="88"/>
      <c r="AR31" s="26"/>
      <c r="AS31" s="26"/>
      <c r="AT31" s="26"/>
      <c r="BU31" s="88"/>
      <c r="BV31" s="143"/>
      <c r="BW31" s="12"/>
    </row>
    <row r="32" spans="1:75" x14ac:dyDescent="0.25">
      <c r="A32" s="140">
        <f t="shared" si="1"/>
        <v>31</v>
      </c>
      <c r="B32" s="7">
        <f>SPC!AH$37</f>
        <v>17.236359515325198</v>
      </c>
      <c r="C32" s="3">
        <f t="shared" si="2"/>
        <v>1.3296286545373965</v>
      </c>
      <c r="D32" s="4">
        <f t="shared" si="3"/>
        <v>0.78</v>
      </c>
      <c r="E32" s="3">
        <f t="shared" si="0"/>
        <v>0.90817967389589449</v>
      </c>
      <c r="F32" s="3">
        <f t="shared" si="4"/>
        <v>90.817967389589455</v>
      </c>
      <c r="G32" s="142"/>
      <c r="H32" s="142"/>
      <c r="I32" s="142"/>
      <c r="J32" s="142"/>
      <c r="K32" s="142"/>
      <c r="L32" s="5"/>
      <c r="M32" s="149"/>
      <c r="P32" s="106"/>
      <c r="Q32" s="144"/>
      <c r="R32" s="88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>
        <f ca="1">SUM(AJ21:AJ30)</f>
        <v>0</v>
      </c>
      <c r="AK32" s="164"/>
      <c r="AL32" s="164"/>
      <c r="AM32" s="88"/>
      <c r="AN32" s="88"/>
      <c r="AO32" s="88"/>
      <c r="AP32" s="88"/>
      <c r="AQ32" s="88"/>
      <c r="AR32" s="19"/>
      <c r="AS32" s="20"/>
      <c r="AT32" s="20"/>
      <c r="BU32" s="88"/>
      <c r="BV32" s="143"/>
      <c r="BW32" s="12"/>
    </row>
    <row r="33" spans="1:98" x14ac:dyDescent="0.25">
      <c r="A33" s="140">
        <f t="shared" si="1"/>
        <v>32</v>
      </c>
      <c r="B33" s="7">
        <f>SPC!AI$37</f>
        <v>17.223772299417032</v>
      </c>
      <c r="C33" s="3">
        <f t="shared" si="2"/>
        <v>-0.84469985260820879</v>
      </c>
      <c r="D33" s="4">
        <f t="shared" si="3"/>
        <v>0.28000000000000003</v>
      </c>
      <c r="E33" s="3">
        <f t="shared" si="0"/>
        <v>0.19913922089758435</v>
      </c>
      <c r="F33" s="3">
        <f t="shared" si="4"/>
        <v>19.913922089758433</v>
      </c>
      <c r="G33" s="142"/>
      <c r="H33" s="142"/>
      <c r="I33" s="142"/>
      <c r="J33" s="142"/>
      <c r="K33" s="142"/>
      <c r="L33" s="5"/>
      <c r="M33" s="149"/>
      <c r="P33" s="106"/>
      <c r="Q33" s="144"/>
      <c r="R33" s="88"/>
      <c r="S33" s="164"/>
      <c r="T33" s="164" t="s">
        <v>51</v>
      </c>
      <c r="U33" s="198">
        <f>IF(SPC!P5="","",AVERAGE(SPC!C37:AA37,SPC!AC37:BA37))</f>
        <v>17.228586613750199</v>
      </c>
      <c r="V33" s="164"/>
      <c r="W33" s="164" t="s">
        <v>52</v>
      </c>
      <c r="X33" s="169">
        <f>IF(SPC!$P$5="","",IF(Formule!$K$1=2,$U$33+$AA$15*$U$35,IF(Formule!$K$1=3,$U$33+$AE$15*$U$35,$U$33+$W$15*$U$35)))</f>
        <v>17.247152839795543</v>
      </c>
      <c r="Y33" s="164"/>
      <c r="Z33" s="164"/>
      <c r="AA33" s="170"/>
      <c r="AB33" s="171" t="s">
        <v>53</v>
      </c>
      <c r="AC33" s="172">
        <f>MIN(SPC!$C$32:$BA$36)</f>
        <v>17.207724875927173</v>
      </c>
      <c r="AD33" s="164"/>
      <c r="AE33" s="164" t="s">
        <v>54</v>
      </c>
      <c r="AF33" s="164" t="s">
        <v>55</v>
      </c>
      <c r="AG33" s="164" t="s">
        <v>56</v>
      </c>
      <c r="AH33" s="164" t="s">
        <v>57</v>
      </c>
      <c r="AI33" s="164" t="s">
        <v>53</v>
      </c>
      <c r="AJ33" s="164">
        <f>IF(SPC!$K$9=0,0,AG34)</f>
        <v>17.119999999999997</v>
      </c>
      <c r="AK33" s="164"/>
      <c r="AL33" s="164"/>
      <c r="AM33" s="88"/>
      <c r="AN33" s="88"/>
      <c r="AO33" s="88"/>
      <c r="AP33" s="88"/>
      <c r="AQ33" s="88"/>
      <c r="AR33" s="56"/>
      <c r="AS33" s="57"/>
      <c r="AT33" s="57"/>
      <c r="BU33" s="88"/>
      <c r="BV33" s="143"/>
      <c r="BW33" s="12"/>
    </row>
    <row r="34" spans="1:98" x14ac:dyDescent="0.25">
      <c r="A34" s="140">
        <f t="shared" si="1"/>
        <v>33</v>
      </c>
      <c r="B34" s="7">
        <f>SPC!AJ$37</f>
        <v>17.232445480875615</v>
      </c>
      <c r="C34" s="3">
        <f t="shared" si="2"/>
        <v>0.65351435382403833</v>
      </c>
      <c r="D34" s="4">
        <f t="shared" si="3"/>
        <v>0.54</v>
      </c>
      <c r="E34" s="3">
        <f t="shared" si="0"/>
        <v>0.74328763059357206</v>
      </c>
      <c r="F34" s="3">
        <f t="shared" si="4"/>
        <v>74.3287630593572</v>
      </c>
      <c r="G34" s="142"/>
      <c r="H34" s="142"/>
      <c r="I34" s="142"/>
      <c r="J34" s="142"/>
      <c r="K34" s="142"/>
      <c r="L34" s="5"/>
      <c r="M34" s="149"/>
      <c r="P34" s="132"/>
      <c r="Q34" s="173"/>
      <c r="R34" s="88"/>
      <c r="S34" s="164"/>
      <c r="T34" s="164"/>
      <c r="U34" s="198"/>
      <c r="V34" s="164"/>
      <c r="W34" s="164" t="s">
        <v>58</v>
      </c>
      <c r="X34" s="169">
        <f>IF(SPC!$P$5="","",IF(Formule!$K$1=2,$U$33-$AA$15*$U$35,IF(Formule!$K$1=3,$U$33-$AE$15*$U$35,$U$33-$W$15*$U$35)))</f>
        <v>17.210020387704855</v>
      </c>
      <c r="Y34" s="164"/>
      <c r="Z34" s="164"/>
      <c r="AA34" s="170"/>
      <c r="AB34" s="171" t="s">
        <v>59</v>
      </c>
      <c r="AC34" s="172">
        <f>MAX(SPC!$C$32:$BA$36)</f>
        <v>17.250646766482777</v>
      </c>
      <c r="AD34" s="164"/>
      <c r="AE34" s="164">
        <f>IF(SPC!K9=3,AC33*0.98,SPC!L2)</f>
        <v>17.2</v>
      </c>
      <c r="AF34" s="164">
        <f>IF(SPC!K9=2,AC34*1.02,SPC!Q2)</f>
        <v>17.400000000000002</v>
      </c>
      <c r="AG34" s="164">
        <f>AE34-(2*(AF34-AE34)/5)</f>
        <v>17.119999999999997</v>
      </c>
      <c r="AH34" s="164">
        <f>AF34+(2*(AF34-AE34)/5)</f>
        <v>17.480000000000004</v>
      </c>
      <c r="AI34" s="164" t="s">
        <v>59</v>
      </c>
      <c r="AJ34" s="164">
        <f>IF(SPC!$K$9=0,0,AH34)</f>
        <v>17.480000000000004</v>
      </c>
      <c r="AK34" s="164"/>
      <c r="AL34" s="164"/>
      <c r="AM34" s="88"/>
      <c r="AN34" s="88"/>
      <c r="AO34" s="88"/>
      <c r="AP34" s="88"/>
      <c r="AQ34" s="88"/>
      <c r="AR34" s="56"/>
      <c r="AS34" s="56"/>
      <c r="AT34" s="56"/>
      <c r="BU34" s="88"/>
      <c r="BV34" s="143"/>
      <c r="BW34" s="12"/>
    </row>
    <row r="35" spans="1:98" x14ac:dyDescent="0.25">
      <c r="A35" s="140">
        <f t="shared" si="1"/>
        <v>34</v>
      </c>
      <c r="B35" s="7">
        <f>SPC!AK$37</f>
        <v>17.222663910821439</v>
      </c>
      <c r="C35" s="3">
        <f t="shared" si="2"/>
        <v>-1.0361640284813074</v>
      </c>
      <c r="D35" s="4">
        <f t="shared" si="3"/>
        <v>0.04</v>
      </c>
      <c r="E35" s="3">
        <f t="shared" si="0"/>
        <v>0.15006281265045684</v>
      </c>
      <c r="F35" s="3">
        <f t="shared" si="4"/>
        <v>15.006281265045684</v>
      </c>
      <c r="G35" s="142"/>
      <c r="H35" s="142"/>
      <c r="I35" s="142"/>
      <c r="J35" s="142"/>
      <c r="K35" s="142"/>
      <c r="L35" s="5"/>
      <c r="M35" s="149"/>
      <c r="P35" s="117"/>
      <c r="Q35" s="174"/>
      <c r="R35" s="88"/>
      <c r="S35" s="164" t="s">
        <v>126</v>
      </c>
      <c r="T35" s="164" t="s">
        <v>60</v>
      </c>
      <c r="U35" s="198">
        <f>IF(SPC!P5="","",AVERAGE(SPC!C38:AA38,SPC!AC38:BA38))</f>
        <v>3.2177168189505639E-2</v>
      </c>
      <c r="V35" s="164"/>
      <c r="W35" s="164" t="s">
        <v>61</v>
      </c>
      <c r="X35" s="169">
        <f>IF(SPC!$P$5="","",IF(Formule!$K$1=2,$AC$15*$U$35,IF(Formule!$K$1=3,$AG$15*$U$35,$Y$15*$U$35)))</f>
        <v>6.8022533552614922E-2</v>
      </c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 t="s">
        <v>62</v>
      </c>
      <c r="AJ35" s="164">
        <f>AJ34-AJ33</f>
        <v>0.36000000000000654</v>
      </c>
      <c r="AK35" s="164"/>
      <c r="AL35" s="164"/>
      <c r="AM35" s="88"/>
      <c r="AN35" s="88"/>
      <c r="AO35" s="88"/>
      <c r="AP35" s="88"/>
      <c r="AQ35" s="88"/>
      <c r="AR35" s="56"/>
      <c r="AS35" s="57"/>
      <c r="AT35" s="57"/>
      <c r="BU35" s="88"/>
      <c r="BV35" s="143"/>
      <c r="BW35" s="12"/>
    </row>
    <row r="36" spans="1:98" x14ac:dyDescent="0.25">
      <c r="A36" s="140">
        <f t="shared" si="1"/>
        <v>35</v>
      </c>
      <c r="B36" s="7">
        <f>SPC!AL$37</f>
        <v>17.236359515325198</v>
      </c>
      <c r="C36" s="3">
        <f t="shared" si="2"/>
        <v>1.3296286545373965</v>
      </c>
      <c r="D36" s="4">
        <f t="shared" si="3"/>
        <v>0.78</v>
      </c>
      <c r="E36" s="3">
        <f t="shared" si="0"/>
        <v>0.90817967389589449</v>
      </c>
      <c r="F36" s="3">
        <f t="shared" si="4"/>
        <v>90.817967389589455</v>
      </c>
      <c r="G36" s="142"/>
      <c r="H36" s="142"/>
      <c r="I36" s="142"/>
      <c r="J36" s="142"/>
      <c r="K36" s="142"/>
      <c r="L36" s="5"/>
      <c r="M36" s="149"/>
      <c r="P36" s="118"/>
      <c r="Q36" s="175"/>
      <c r="R36" s="88"/>
      <c r="S36" s="164" t="s">
        <v>127</v>
      </c>
      <c r="T36" s="164" t="s">
        <v>63</v>
      </c>
      <c r="U36" s="198"/>
      <c r="V36" s="164"/>
      <c r="W36" s="164" t="s">
        <v>64</v>
      </c>
      <c r="X36" s="164">
        <f>IF(SPC!$P$5="","",IF(Formule!$K$1=2,$AB$15*$U$35,IF(Formule!$K$1=3,$AF$15*$U$35,$X$15*$U$35)))</f>
        <v>0</v>
      </c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 t="s">
        <v>65</v>
      </c>
      <c r="AJ36" s="164">
        <f>AJ35/9</f>
        <v>4.0000000000000729E-2</v>
      </c>
      <c r="AK36" s="164"/>
      <c r="AL36" s="164"/>
      <c r="AM36" s="88"/>
      <c r="AN36" s="88"/>
      <c r="AO36" s="88"/>
      <c r="AP36" s="88"/>
      <c r="AQ36" s="88"/>
      <c r="AR36" s="19"/>
      <c r="AS36" s="20"/>
      <c r="AT36" s="20"/>
      <c r="BU36" s="88"/>
      <c r="BV36" s="143"/>
      <c r="BW36" s="12"/>
    </row>
    <row r="37" spans="1:98" x14ac:dyDescent="0.25">
      <c r="A37" s="140">
        <f t="shared" si="1"/>
        <v>36</v>
      </c>
      <c r="B37" s="7">
        <f>SPC!AM$37</f>
        <v>17.223772299417032</v>
      </c>
      <c r="C37" s="3">
        <f t="shared" si="2"/>
        <v>-0.84469985260820879</v>
      </c>
      <c r="D37" s="4">
        <f t="shared" si="3"/>
        <v>0.28000000000000003</v>
      </c>
      <c r="E37" s="3">
        <f t="shared" si="0"/>
        <v>0.19913922089758435</v>
      </c>
      <c r="F37" s="3">
        <f t="shared" si="4"/>
        <v>19.913922089758433</v>
      </c>
      <c r="G37" s="142"/>
      <c r="H37" s="142"/>
      <c r="I37" s="142"/>
      <c r="J37" s="142"/>
      <c r="K37" s="142"/>
      <c r="L37" s="5"/>
      <c r="M37" s="149"/>
      <c r="P37" s="120"/>
      <c r="S37" s="1" t="s">
        <v>213</v>
      </c>
      <c r="T37" s="237">
        <f>SPC!Q2</f>
        <v>17.400000000000002</v>
      </c>
      <c r="U37" s="237">
        <f>SPC!Q2</f>
        <v>17.400000000000002</v>
      </c>
      <c r="V37" s="237">
        <f>SPC!Q2</f>
        <v>17.400000000000002</v>
      </c>
      <c r="W37" s="237">
        <f>SPC!Q2</f>
        <v>17.400000000000002</v>
      </c>
      <c r="X37" s="237">
        <f>SPC!Q2</f>
        <v>17.400000000000002</v>
      </c>
      <c r="Y37" s="237">
        <f>SPC!Q2</f>
        <v>17.400000000000002</v>
      </c>
      <c r="Z37" s="237">
        <f>SPC!Q2</f>
        <v>17.400000000000002</v>
      </c>
      <c r="AA37" s="237">
        <f>SPC!Q2</f>
        <v>17.400000000000002</v>
      </c>
      <c r="AB37" s="237">
        <f>SPC!Q2</f>
        <v>17.400000000000002</v>
      </c>
      <c r="AC37" s="237">
        <f>SPC!Q2</f>
        <v>17.400000000000002</v>
      </c>
      <c r="AD37" s="237">
        <f>SPC!Q2</f>
        <v>17.400000000000002</v>
      </c>
      <c r="AE37" s="237">
        <f>SPC!Q2</f>
        <v>17.400000000000002</v>
      </c>
      <c r="AF37" s="237">
        <f>SPC!Q2</f>
        <v>17.400000000000002</v>
      </c>
      <c r="AG37" s="237">
        <f>SPC!Q2</f>
        <v>17.400000000000002</v>
      </c>
      <c r="AH37" s="237">
        <f>SPC!Q2</f>
        <v>17.400000000000002</v>
      </c>
      <c r="AI37" s="237">
        <f>SPC!Q2</f>
        <v>17.400000000000002</v>
      </c>
      <c r="AJ37" s="237">
        <f>SPC!Q2</f>
        <v>17.400000000000002</v>
      </c>
      <c r="AK37" s="237">
        <f>SPC!Q2</f>
        <v>17.400000000000002</v>
      </c>
      <c r="AL37" s="237">
        <f>SPC!Q2</f>
        <v>17.400000000000002</v>
      </c>
      <c r="AM37" s="237">
        <f>SPC!Q2</f>
        <v>17.400000000000002</v>
      </c>
      <c r="AN37" s="237">
        <f>SPC!Q2</f>
        <v>17.400000000000002</v>
      </c>
      <c r="AO37" s="237">
        <f>SPC!Q2</f>
        <v>17.400000000000002</v>
      </c>
      <c r="AP37" s="237">
        <f>SPC!Q2</f>
        <v>17.400000000000002</v>
      </c>
      <c r="AQ37" s="237">
        <f>SPC!Q2</f>
        <v>17.400000000000002</v>
      </c>
      <c r="AR37" s="237">
        <f>SPC!Q2</f>
        <v>17.400000000000002</v>
      </c>
      <c r="AS37" s="237">
        <f>SPC!Q2</f>
        <v>17.400000000000002</v>
      </c>
      <c r="AT37" s="237">
        <f>SPC!Q2</f>
        <v>17.400000000000002</v>
      </c>
      <c r="AU37" s="237">
        <f>SPC!Q2</f>
        <v>17.400000000000002</v>
      </c>
      <c r="AV37" s="237">
        <f>SPC!Q2</f>
        <v>17.400000000000002</v>
      </c>
      <c r="AW37" s="237">
        <f>SPC!Q2</f>
        <v>17.400000000000002</v>
      </c>
      <c r="AX37" s="237">
        <f>SPC!Q2</f>
        <v>17.400000000000002</v>
      </c>
      <c r="AY37" s="237">
        <f>SPC!Q2</f>
        <v>17.400000000000002</v>
      </c>
      <c r="AZ37" s="237">
        <f>SPC!Q2</f>
        <v>17.400000000000002</v>
      </c>
      <c r="BA37" s="237">
        <f>SPC!Q2</f>
        <v>17.400000000000002</v>
      </c>
      <c r="BB37" s="237">
        <f>SPC!Q2</f>
        <v>17.400000000000002</v>
      </c>
      <c r="BC37" s="237">
        <f>SPC!Q2</f>
        <v>17.400000000000002</v>
      </c>
      <c r="BD37" s="237">
        <f>SPC!Q2</f>
        <v>17.400000000000002</v>
      </c>
      <c r="BE37" s="237">
        <f>SPC!Q2</f>
        <v>17.400000000000002</v>
      </c>
      <c r="BF37" s="237">
        <f>SPC!Q2</f>
        <v>17.400000000000002</v>
      </c>
      <c r="BG37" s="237">
        <f>SPC!Q2</f>
        <v>17.400000000000002</v>
      </c>
      <c r="BH37" s="237">
        <f>SPC!Q2</f>
        <v>17.400000000000002</v>
      </c>
      <c r="BI37" s="237">
        <f>SPC!Q2</f>
        <v>17.400000000000002</v>
      </c>
      <c r="BJ37" s="237">
        <f>SPC!Q2</f>
        <v>17.400000000000002</v>
      </c>
      <c r="BK37" s="237">
        <f>SPC!Q2</f>
        <v>17.400000000000002</v>
      </c>
      <c r="BL37" s="237">
        <f>SPC!Q2</f>
        <v>17.400000000000002</v>
      </c>
      <c r="BM37" s="237">
        <f>SPC!Q2</f>
        <v>17.400000000000002</v>
      </c>
      <c r="BN37" s="237">
        <f>SPC!Q2</f>
        <v>17.400000000000002</v>
      </c>
      <c r="BO37" s="237">
        <f>SPC!Q2</f>
        <v>17.400000000000002</v>
      </c>
      <c r="BP37" s="237">
        <f>SPC!Q2</f>
        <v>17.400000000000002</v>
      </c>
      <c r="BQ37" s="237">
        <f>SPC!Q2</f>
        <v>17.400000000000002</v>
      </c>
      <c r="BR37" s="237">
        <f>SPC!Q2</f>
        <v>17.400000000000002</v>
      </c>
      <c r="BS37" s="237">
        <f>SPC!Q2</f>
        <v>17.400000000000002</v>
      </c>
      <c r="BT37" s="237">
        <f>SPC!Q2</f>
        <v>17.400000000000002</v>
      </c>
      <c r="BU37" s="237">
        <f>SPC!Q2</f>
        <v>17.400000000000002</v>
      </c>
      <c r="BV37" s="237">
        <f>SPC!Q2</f>
        <v>17.400000000000002</v>
      </c>
      <c r="BW37" s="237">
        <f>SPC!Q2</f>
        <v>17.400000000000002</v>
      </c>
      <c r="BX37" s="237">
        <f>SPC!Q2</f>
        <v>17.400000000000002</v>
      </c>
      <c r="BY37" s="237">
        <f>SPC!Q2</f>
        <v>17.400000000000002</v>
      </c>
      <c r="BZ37" s="237">
        <f>SPC!Q2</f>
        <v>17.400000000000002</v>
      </c>
      <c r="CA37" s="237">
        <f>SPC!Q2</f>
        <v>17.400000000000002</v>
      </c>
      <c r="CB37" s="237">
        <f>SPC!Q2</f>
        <v>17.400000000000002</v>
      </c>
      <c r="CC37" s="237">
        <f>SPC!Q2</f>
        <v>17.400000000000002</v>
      </c>
      <c r="CD37" s="237">
        <f>SPC!Q2</f>
        <v>17.400000000000002</v>
      </c>
      <c r="CE37" s="237">
        <f>SPC!Q2</f>
        <v>17.400000000000002</v>
      </c>
      <c r="CF37" s="237">
        <f>SPC!Q2</f>
        <v>17.400000000000002</v>
      </c>
      <c r="CG37" s="237">
        <f>SPC!Q2</f>
        <v>17.400000000000002</v>
      </c>
      <c r="CH37" s="237">
        <f>SPC!Q2</f>
        <v>17.400000000000002</v>
      </c>
      <c r="CI37" s="237">
        <f>SPC!Q2</f>
        <v>17.400000000000002</v>
      </c>
      <c r="CJ37" s="237">
        <f>SPC!Q2</f>
        <v>17.400000000000002</v>
      </c>
      <c r="CK37" s="237">
        <f>SPC!Q2</f>
        <v>17.400000000000002</v>
      </c>
      <c r="CL37" s="237">
        <f>SPC!Q2</f>
        <v>17.400000000000002</v>
      </c>
      <c r="CM37" s="237">
        <f>SPC!Q2</f>
        <v>17.400000000000002</v>
      </c>
      <c r="CN37" s="237">
        <f>SPC!Q2</f>
        <v>17.400000000000002</v>
      </c>
      <c r="CO37" s="237">
        <f>SPC!Q2</f>
        <v>17.400000000000002</v>
      </c>
      <c r="CP37" s="237">
        <f>SPC!Q2</f>
        <v>17.400000000000002</v>
      </c>
      <c r="CQ37" s="237">
        <f>SPC!Q2</f>
        <v>17.400000000000002</v>
      </c>
      <c r="CR37" s="237">
        <f>SPC!Q2</f>
        <v>17.400000000000002</v>
      </c>
      <c r="CS37" s="237">
        <f>SPC!Q2</f>
        <v>17.400000000000002</v>
      </c>
      <c r="CT37" s="237">
        <f>SPC!Q2</f>
        <v>17.400000000000002</v>
      </c>
    </row>
    <row r="38" spans="1:98" x14ac:dyDescent="0.25">
      <c r="A38" s="140">
        <f t="shared" si="1"/>
        <v>37</v>
      </c>
      <c r="B38" s="7">
        <f>SPC!AN$37</f>
        <v>17.232445480875615</v>
      </c>
      <c r="C38" s="3">
        <f t="shared" si="2"/>
        <v>0.65351435382403833</v>
      </c>
      <c r="D38" s="4">
        <f t="shared" si="3"/>
        <v>0.54</v>
      </c>
      <c r="E38" s="3">
        <f t="shared" si="0"/>
        <v>0.74328763059357206</v>
      </c>
      <c r="F38" s="3">
        <f t="shared" si="4"/>
        <v>74.3287630593572</v>
      </c>
      <c r="G38" s="142"/>
      <c r="H38" s="142"/>
      <c r="I38" s="142"/>
      <c r="J38" s="142"/>
      <c r="K38" s="142"/>
      <c r="L38" s="5"/>
      <c r="M38" s="149"/>
      <c r="P38" s="120"/>
      <c r="S38" s="1" t="s">
        <v>214</v>
      </c>
      <c r="T38" s="237">
        <f>SPC!$L$2</f>
        <v>17.2</v>
      </c>
      <c r="U38" s="237">
        <f>SPC!$L$2</f>
        <v>17.2</v>
      </c>
      <c r="V38" s="237">
        <f>SPC!$L$2</f>
        <v>17.2</v>
      </c>
      <c r="W38" s="237">
        <f>SPC!$L$2</f>
        <v>17.2</v>
      </c>
      <c r="X38" s="237">
        <f>SPC!$L$2</f>
        <v>17.2</v>
      </c>
      <c r="Y38" s="237">
        <f>SPC!$L$2</f>
        <v>17.2</v>
      </c>
      <c r="Z38" s="237">
        <f>SPC!$L$2</f>
        <v>17.2</v>
      </c>
      <c r="AA38" s="237">
        <f>SPC!$L$2</f>
        <v>17.2</v>
      </c>
      <c r="AB38" s="237">
        <f>SPC!$L$2</f>
        <v>17.2</v>
      </c>
      <c r="AC38" s="237">
        <f>SPC!$L$2</f>
        <v>17.2</v>
      </c>
      <c r="AD38" s="237">
        <f>SPC!$L$2</f>
        <v>17.2</v>
      </c>
      <c r="AE38" s="237">
        <f>SPC!$L$2</f>
        <v>17.2</v>
      </c>
      <c r="AF38" s="237">
        <f>SPC!$L$2</f>
        <v>17.2</v>
      </c>
      <c r="AG38" s="237">
        <f>SPC!$L$2</f>
        <v>17.2</v>
      </c>
      <c r="AH38" s="237">
        <f>SPC!$L$2</f>
        <v>17.2</v>
      </c>
      <c r="AI38" s="237">
        <f>SPC!$L$2</f>
        <v>17.2</v>
      </c>
      <c r="AJ38" s="237">
        <f>SPC!$L$2</f>
        <v>17.2</v>
      </c>
      <c r="AK38" s="237">
        <f>SPC!$L$2</f>
        <v>17.2</v>
      </c>
      <c r="AL38" s="237">
        <f>SPC!$L$2</f>
        <v>17.2</v>
      </c>
      <c r="AM38" s="237">
        <f>SPC!$L$2</f>
        <v>17.2</v>
      </c>
      <c r="AN38" s="237">
        <f>SPC!$L$2</f>
        <v>17.2</v>
      </c>
      <c r="AO38" s="237">
        <f>SPC!$L$2</f>
        <v>17.2</v>
      </c>
      <c r="AP38" s="237">
        <f>SPC!$L$2</f>
        <v>17.2</v>
      </c>
      <c r="AQ38" s="237">
        <f>SPC!$L$2</f>
        <v>17.2</v>
      </c>
      <c r="AR38" s="237">
        <f>SPC!$L$2</f>
        <v>17.2</v>
      </c>
      <c r="AS38" s="237">
        <f>SPC!$L$2</f>
        <v>17.2</v>
      </c>
      <c r="AT38" s="237">
        <f>SPC!$L$2</f>
        <v>17.2</v>
      </c>
      <c r="AU38" s="237">
        <f>SPC!$L$2</f>
        <v>17.2</v>
      </c>
      <c r="AV38" s="237">
        <f>SPC!$L$2</f>
        <v>17.2</v>
      </c>
      <c r="AW38" s="237">
        <f>SPC!$L$2</f>
        <v>17.2</v>
      </c>
      <c r="AX38" s="237">
        <f>SPC!$L$2</f>
        <v>17.2</v>
      </c>
      <c r="AY38" s="237">
        <f>SPC!$L$2</f>
        <v>17.2</v>
      </c>
      <c r="AZ38" s="237">
        <f>SPC!$L$2</f>
        <v>17.2</v>
      </c>
      <c r="BA38" s="237">
        <f>SPC!$L$2</f>
        <v>17.2</v>
      </c>
      <c r="BB38" s="237">
        <f>SPC!$L$2</f>
        <v>17.2</v>
      </c>
      <c r="BC38" s="237">
        <f>SPC!$L$2</f>
        <v>17.2</v>
      </c>
      <c r="BD38" s="237">
        <f>SPC!$L$2</f>
        <v>17.2</v>
      </c>
      <c r="BE38" s="237">
        <f>SPC!$L$2</f>
        <v>17.2</v>
      </c>
      <c r="BF38" s="237">
        <f>SPC!$L$2</f>
        <v>17.2</v>
      </c>
      <c r="BG38" s="237">
        <f>SPC!$L$2</f>
        <v>17.2</v>
      </c>
      <c r="BH38" s="237">
        <f>SPC!$L$2</f>
        <v>17.2</v>
      </c>
      <c r="BI38" s="237">
        <f>SPC!$L$2</f>
        <v>17.2</v>
      </c>
      <c r="BJ38" s="237">
        <f>SPC!$L$2</f>
        <v>17.2</v>
      </c>
      <c r="BK38" s="237">
        <f>SPC!$L$2</f>
        <v>17.2</v>
      </c>
      <c r="BL38" s="237">
        <f>SPC!$L$2</f>
        <v>17.2</v>
      </c>
      <c r="BM38" s="237">
        <f>SPC!$L$2</f>
        <v>17.2</v>
      </c>
      <c r="BN38" s="237">
        <f>SPC!$L$2</f>
        <v>17.2</v>
      </c>
      <c r="BO38" s="237">
        <f>SPC!$L$2</f>
        <v>17.2</v>
      </c>
      <c r="BP38" s="237">
        <f>SPC!$L$2</f>
        <v>17.2</v>
      </c>
      <c r="BQ38" s="237">
        <f>SPC!$L$2</f>
        <v>17.2</v>
      </c>
      <c r="BR38" s="237">
        <f>SPC!$L$2</f>
        <v>17.2</v>
      </c>
      <c r="BS38" s="237">
        <f>SPC!$L$2</f>
        <v>17.2</v>
      </c>
      <c r="BT38" s="237">
        <f>SPC!$L$2</f>
        <v>17.2</v>
      </c>
      <c r="BU38" s="237">
        <f>SPC!$L$2</f>
        <v>17.2</v>
      </c>
      <c r="BV38" s="237">
        <f>SPC!$L$2</f>
        <v>17.2</v>
      </c>
      <c r="BW38" s="237">
        <f>SPC!$L$2</f>
        <v>17.2</v>
      </c>
      <c r="BX38" s="237">
        <f>SPC!$L$2</f>
        <v>17.2</v>
      </c>
      <c r="BY38" s="237">
        <f>SPC!$L$2</f>
        <v>17.2</v>
      </c>
      <c r="BZ38" s="237">
        <f>SPC!$L$2</f>
        <v>17.2</v>
      </c>
      <c r="CA38" s="237">
        <f>SPC!$L$2</f>
        <v>17.2</v>
      </c>
      <c r="CB38" s="237">
        <f>SPC!$L$2</f>
        <v>17.2</v>
      </c>
      <c r="CC38" s="237">
        <f>SPC!$L$2</f>
        <v>17.2</v>
      </c>
      <c r="CD38" s="237">
        <f>SPC!$L$2</f>
        <v>17.2</v>
      </c>
      <c r="CE38" s="237">
        <f>SPC!$L$2</f>
        <v>17.2</v>
      </c>
      <c r="CF38" s="237">
        <f>SPC!$L$2</f>
        <v>17.2</v>
      </c>
      <c r="CG38" s="237">
        <f>SPC!$L$2</f>
        <v>17.2</v>
      </c>
      <c r="CH38" s="237">
        <f>SPC!$L$2</f>
        <v>17.2</v>
      </c>
      <c r="CI38" s="237">
        <f>SPC!$L$2</f>
        <v>17.2</v>
      </c>
      <c r="CJ38" s="237">
        <f>SPC!$L$2</f>
        <v>17.2</v>
      </c>
      <c r="CK38" s="237">
        <f>SPC!$L$2</f>
        <v>17.2</v>
      </c>
      <c r="CL38" s="237">
        <f>SPC!$L$2</f>
        <v>17.2</v>
      </c>
      <c r="CM38" s="237">
        <f>SPC!$L$2</f>
        <v>17.2</v>
      </c>
      <c r="CN38" s="237">
        <f>SPC!$L$2</f>
        <v>17.2</v>
      </c>
      <c r="CO38" s="237">
        <f>SPC!$L$2</f>
        <v>17.2</v>
      </c>
      <c r="CP38" s="237">
        <f>SPC!$L$2</f>
        <v>17.2</v>
      </c>
      <c r="CQ38" s="237">
        <f>SPC!$L$2</f>
        <v>17.2</v>
      </c>
      <c r="CR38" s="237">
        <f>SPC!$L$2</f>
        <v>17.2</v>
      </c>
      <c r="CS38" s="237">
        <f>SPC!$L$2</f>
        <v>17.2</v>
      </c>
      <c r="CT38" s="237">
        <f>SPC!$L$2</f>
        <v>17.2</v>
      </c>
    </row>
    <row r="39" spans="1:98" ht="13.8" thickBot="1" x14ac:dyDescent="0.3">
      <c r="A39" s="140">
        <f t="shared" si="1"/>
        <v>38</v>
      </c>
      <c r="B39" s="7">
        <f>SPC!AO$37</f>
        <v>17.222663910821439</v>
      </c>
      <c r="C39" s="3">
        <f t="shared" si="2"/>
        <v>-1.0361640284813074</v>
      </c>
      <c r="D39" s="4">
        <f t="shared" si="3"/>
        <v>0.04</v>
      </c>
      <c r="E39" s="3">
        <f t="shared" si="0"/>
        <v>0.15006281265045684</v>
      </c>
      <c r="F39" s="3">
        <f t="shared" si="4"/>
        <v>15.006281265045684</v>
      </c>
      <c r="G39" s="142"/>
      <c r="H39" s="142"/>
      <c r="I39" s="142"/>
      <c r="J39" s="142"/>
      <c r="K39" s="142"/>
      <c r="L39" s="5"/>
      <c r="M39" s="149"/>
      <c r="P39" s="120"/>
      <c r="S39" s="1" t="s">
        <v>215</v>
      </c>
      <c r="T39" s="237">
        <f>SPC!$N$2</f>
        <v>17.3</v>
      </c>
      <c r="U39" s="237">
        <f>SPC!$N$2</f>
        <v>17.3</v>
      </c>
      <c r="V39" s="237">
        <f>SPC!$N$2</f>
        <v>17.3</v>
      </c>
      <c r="W39" s="237">
        <f>SPC!$N$2</f>
        <v>17.3</v>
      </c>
      <c r="X39" s="237">
        <f>SPC!$N$2</f>
        <v>17.3</v>
      </c>
      <c r="Y39" s="237">
        <f>SPC!$N$2</f>
        <v>17.3</v>
      </c>
      <c r="Z39" s="237">
        <f>SPC!$N$2</f>
        <v>17.3</v>
      </c>
      <c r="AA39" s="237">
        <f>SPC!$N$2</f>
        <v>17.3</v>
      </c>
      <c r="AB39" s="237">
        <f>SPC!$N$2</f>
        <v>17.3</v>
      </c>
      <c r="AC39" s="237">
        <f>SPC!$N$2</f>
        <v>17.3</v>
      </c>
      <c r="AD39" s="237">
        <f>SPC!$N$2</f>
        <v>17.3</v>
      </c>
      <c r="AE39" s="237">
        <f>SPC!$N$2</f>
        <v>17.3</v>
      </c>
      <c r="AF39" s="237">
        <f>SPC!$N$2</f>
        <v>17.3</v>
      </c>
      <c r="AG39" s="237">
        <f>SPC!$N$2</f>
        <v>17.3</v>
      </c>
      <c r="AH39" s="237">
        <f>SPC!$N$2</f>
        <v>17.3</v>
      </c>
      <c r="AI39" s="237">
        <f>SPC!$N$2</f>
        <v>17.3</v>
      </c>
      <c r="AJ39" s="237">
        <f>SPC!$N$2</f>
        <v>17.3</v>
      </c>
      <c r="AK39" s="237">
        <f>SPC!$N$2</f>
        <v>17.3</v>
      </c>
      <c r="AL39" s="237">
        <f>SPC!$N$2</f>
        <v>17.3</v>
      </c>
      <c r="AM39" s="237">
        <f>SPC!$N$2</f>
        <v>17.3</v>
      </c>
      <c r="AN39" s="237">
        <f>SPC!$N$2</f>
        <v>17.3</v>
      </c>
      <c r="AO39" s="237">
        <f>SPC!$N$2</f>
        <v>17.3</v>
      </c>
      <c r="AP39" s="237">
        <f>SPC!$N$2</f>
        <v>17.3</v>
      </c>
      <c r="AQ39" s="237">
        <f>SPC!$N$2</f>
        <v>17.3</v>
      </c>
      <c r="AR39" s="237">
        <f>SPC!$N$2</f>
        <v>17.3</v>
      </c>
      <c r="AS39" s="237">
        <f>SPC!$N$2</f>
        <v>17.3</v>
      </c>
      <c r="AT39" s="237">
        <f>SPC!$N$2</f>
        <v>17.3</v>
      </c>
      <c r="AU39" s="237">
        <f>SPC!$N$2</f>
        <v>17.3</v>
      </c>
      <c r="AV39" s="237">
        <f>SPC!$N$2</f>
        <v>17.3</v>
      </c>
      <c r="AW39" s="237">
        <f>SPC!$N$2</f>
        <v>17.3</v>
      </c>
      <c r="AX39" s="237">
        <f>SPC!$N$2</f>
        <v>17.3</v>
      </c>
      <c r="AY39" s="237">
        <f>SPC!$N$2</f>
        <v>17.3</v>
      </c>
      <c r="AZ39" s="237">
        <f>SPC!$N$2</f>
        <v>17.3</v>
      </c>
      <c r="BA39" s="237">
        <f>SPC!$N$2</f>
        <v>17.3</v>
      </c>
      <c r="BB39" s="237">
        <f>SPC!$N$2</f>
        <v>17.3</v>
      </c>
      <c r="BC39" s="237">
        <f>SPC!$N$2</f>
        <v>17.3</v>
      </c>
      <c r="BD39" s="237">
        <f>SPC!$N$2</f>
        <v>17.3</v>
      </c>
      <c r="BE39" s="237">
        <f>SPC!$N$2</f>
        <v>17.3</v>
      </c>
      <c r="BF39" s="237">
        <f>SPC!$N$2</f>
        <v>17.3</v>
      </c>
      <c r="BG39" s="237">
        <f>SPC!$N$2</f>
        <v>17.3</v>
      </c>
      <c r="BH39" s="237">
        <f>SPC!$N$2</f>
        <v>17.3</v>
      </c>
      <c r="BI39" s="237">
        <f>SPC!$N$2</f>
        <v>17.3</v>
      </c>
      <c r="BJ39" s="237">
        <f>SPC!$N$2</f>
        <v>17.3</v>
      </c>
      <c r="BK39" s="237">
        <f>SPC!$N$2</f>
        <v>17.3</v>
      </c>
      <c r="BL39" s="237">
        <f>SPC!$N$2</f>
        <v>17.3</v>
      </c>
      <c r="BM39" s="237">
        <f>SPC!$N$2</f>
        <v>17.3</v>
      </c>
      <c r="BN39" s="237">
        <f>SPC!$N$2</f>
        <v>17.3</v>
      </c>
      <c r="BO39" s="237">
        <f>SPC!$N$2</f>
        <v>17.3</v>
      </c>
      <c r="BP39" s="237">
        <f>SPC!$N$2</f>
        <v>17.3</v>
      </c>
      <c r="BQ39" s="237">
        <f>SPC!$N$2</f>
        <v>17.3</v>
      </c>
      <c r="BR39" s="237">
        <f>SPC!$N$2</f>
        <v>17.3</v>
      </c>
      <c r="BS39" s="237">
        <f>SPC!$N$2</f>
        <v>17.3</v>
      </c>
      <c r="BT39" s="237">
        <f>SPC!$N$2</f>
        <v>17.3</v>
      </c>
      <c r="BU39" s="237">
        <f>SPC!$N$2</f>
        <v>17.3</v>
      </c>
      <c r="BV39" s="237">
        <f>SPC!$N$2</f>
        <v>17.3</v>
      </c>
      <c r="BW39" s="237">
        <f>SPC!$N$2</f>
        <v>17.3</v>
      </c>
      <c r="BX39" s="237">
        <f>SPC!$N$2</f>
        <v>17.3</v>
      </c>
      <c r="BY39" s="237">
        <f>SPC!$N$2</f>
        <v>17.3</v>
      </c>
      <c r="BZ39" s="237">
        <f>SPC!$N$2</f>
        <v>17.3</v>
      </c>
      <c r="CA39" s="237">
        <f>SPC!$N$2</f>
        <v>17.3</v>
      </c>
      <c r="CB39" s="237">
        <f>SPC!$N$2</f>
        <v>17.3</v>
      </c>
      <c r="CC39" s="237">
        <f>SPC!$N$2</f>
        <v>17.3</v>
      </c>
      <c r="CD39" s="237">
        <f>SPC!$N$2</f>
        <v>17.3</v>
      </c>
      <c r="CE39" s="237">
        <f>SPC!$N$2</f>
        <v>17.3</v>
      </c>
      <c r="CF39" s="237">
        <f>SPC!$N$2</f>
        <v>17.3</v>
      </c>
      <c r="CG39" s="237">
        <f>SPC!$N$2</f>
        <v>17.3</v>
      </c>
      <c r="CH39" s="237">
        <f>SPC!$N$2</f>
        <v>17.3</v>
      </c>
      <c r="CI39" s="237">
        <f>SPC!$N$2</f>
        <v>17.3</v>
      </c>
      <c r="CJ39" s="237">
        <f>SPC!$N$2</f>
        <v>17.3</v>
      </c>
      <c r="CK39" s="237">
        <f>SPC!$N$2</f>
        <v>17.3</v>
      </c>
      <c r="CL39" s="237">
        <f>SPC!$N$2</f>
        <v>17.3</v>
      </c>
      <c r="CM39" s="237">
        <f>SPC!$N$2</f>
        <v>17.3</v>
      </c>
      <c r="CN39" s="237">
        <f>SPC!$N$2</f>
        <v>17.3</v>
      </c>
      <c r="CO39" s="237">
        <f>SPC!$N$2</f>
        <v>17.3</v>
      </c>
      <c r="CP39" s="237">
        <f>SPC!$N$2</f>
        <v>17.3</v>
      </c>
      <c r="CQ39" s="237">
        <f>SPC!$N$2</f>
        <v>17.3</v>
      </c>
      <c r="CR39" s="237">
        <f>SPC!$N$2</f>
        <v>17.3</v>
      </c>
      <c r="CS39" s="237">
        <f>SPC!$N$2</f>
        <v>17.3</v>
      </c>
      <c r="CT39" s="237">
        <f>SPC!$N$2</f>
        <v>17.3</v>
      </c>
    </row>
    <row r="40" spans="1:98" x14ac:dyDescent="0.25">
      <c r="A40" s="140">
        <f t="shared" si="1"/>
        <v>39</v>
      </c>
      <c r="B40" s="7">
        <f>SPC!AP$37</f>
        <v>17.236359515325198</v>
      </c>
      <c r="C40" s="3">
        <f t="shared" si="2"/>
        <v>1.3296286545373965</v>
      </c>
      <c r="D40" s="4">
        <f t="shared" si="3"/>
        <v>0.78</v>
      </c>
      <c r="E40" s="3">
        <f t="shared" si="0"/>
        <v>0.90817967389589449</v>
      </c>
      <c r="F40" s="3">
        <f t="shared" si="4"/>
        <v>90.817967389589455</v>
      </c>
      <c r="G40" s="142"/>
      <c r="H40" s="142"/>
      <c r="I40" s="142"/>
      <c r="J40" s="142"/>
      <c r="K40" s="142"/>
      <c r="L40" s="5"/>
      <c r="M40" s="149"/>
      <c r="P40" s="120"/>
      <c r="Q40" s="176"/>
      <c r="R40" s="88"/>
      <c r="S40" s="164" t="s">
        <v>52</v>
      </c>
      <c r="T40" s="214">
        <f t="shared" ref="T40:CE40" si="9">$X$33</f>
        <v>17.247152839795543</v>
      </c>
      <c r="U40" s="215">
        <f t="shared" si="9"/>
        <v>17.247152839795543</v>
      </c>
      <c r="V40" s="215">
        <f t="shared" si="9"/>
        <v>17.247152839795543</v>
      </c>
      <c r="W40" s="215">
        <f t="shared" si="9"/>
        <v>17.247152839795543</v>
      </c>
      <c r="X40" s="215">
        <f t="shared" si="9"/>
        <v>17.247152839795543</v>
      </c>
      <c r="Y40" s="215">
        <f t="shared" si="9"/>
        <v>17.247152839795543</v>
      </c>
      <c r="Z40" s="215">
        <f t="shared" si="9"/>
        <v>17.247152839795543</v>
      </c>
      <c r="AA40" s="215">
        <f t="shared" si="9"/>
        <v>17.247152839795543</v>
      </c>
      <c r="AB40" s="215">
        <f t="shared" si="9"/>
        <v>17.247152839795543</v>
      </c>
      <c r="AC40" s="215">
        <f t="shared" si="9"/>
        <v>17.247152839795543</v>
      </c>
      <c r="AD40" s="215">
        <f t="shared" si="9"/>
        <v>17.247152839795543</v>
      </c>
      <c r="AE40" s="215">
        <f t="shared" si="9"/>
        <v>17.247152839795543</v>
      </c>
      <c r="AF40" s="215">
        <f t="shared" si="9"/>
        <v>17.247152839795543</v>
      </c>
      <c r="AG40" s="215">
        <f t="shared" si="9"/>
        <v>17.247152839795543</v>
      </c>
      <c r="AH40" s="215">
        <f t="shared" si="9"/>
        <v>17.247152839795543</v>
      </c>
      <c r="AI40" s="215">
        <f t="shared" si="9"/>
        <v>17.247152839795543</v>
      </c>
      <c r="AJ40" s="215">
        <f t="shared" si="9"/>
        <v>17.247152839795543</v>
      </c>
      <c r="AK40" s="215">
        <f t="shared" si="9"/>
        <v>17.247152839795543</v>
      </c>
      <c r="AL40" s="215">
        <f t="shared" si="9"/>
        <v>17.247152839795543</v>
      </c>
      <c r="AM40" s="215">
        <f t="shared" si="9"/>
        <v>17.247152839795543</v>
      </c>
      <c r="AN40" s="215">
        <f t="shared" si="9"/>
        <v>17.247152839795543</v>
      </c>
      <c r="AO40" s="215">
        <f t="shared" si="9"/>
        <v>17.247152839795543</v>
      </c>
      <c r="AP40" s="215">
        <f t="shared" si="9"/>
        <v>17.247152839795543</v>
      </c>
      <c r="AQ40" s="215">
        <f t="shared" si="9"/>
        <v>17.247152839795543</v>
      </c>
      <c r="AR40" s="215">
        <f t="shared" si="9"/>
        <v>17.247152839795543</v>
      </c>
      <c r="AS40" s="215">
        <f t="shared" si="9"/>
        <v>17.247152839795543</v>
      </c>
      <c r="AT40" s="215">
        <f t="shared" si="9"/>
        <v>17.247152839795543</v>
      </c>
      <c r="AU40" s="215">
        <f t="shared" si="9"/>
        <v>17.247152839795543</v>
      </c>
      <c r="AV40" s="215">
        <f t="shared" si="9"/>
        <v>17.247152839795543</v>
      </c>
      <c r="AW40" s="215">
        <f t="shared" si="9"/>
        <v>17.247152839795543</v>
      </c>
      <c r="AX40" s="215">
        <f t="shared" si="9"/>
        <v>17.247152839795543</v>
      </c>
      <c r="AY40" s="215">
        <f t="shared" si="9"/>
        <v>17.247152839795543</v>
      </c>
      <c r="AZ40" s="215">
        <f t="shared" si="9"/>
        <v>17.247152839795543</v>
      </c>
      <c r="BA40" s="215">
        <f t="shared" si="9"/>
        <v>17.247152839795543</v>
      </c>
      <c r="BB40" s="215">
        <f t="shared" si="9"/>
        <v>17.247152839795543</v>
      </c>
      <c r="BC40" s="215">
        <f t="shared" si="9"/>
        <v>17.247152839795543</v>
      </c>
      <c r="BD40" s="215">
        <f t="shared" si="9"/>
        <v>17.247152839795543</v>
      </c>
      <c r="BE40" s="215">
        <f t="shared" si="9"/>
        <v>17.247152839795543</v>
      </c>
      <c r="BF40" s="215">
        <f t="shared" si="9"/>
        <v>17.247152839795543</v>
      </c>
      <c r="BG40" s="215">
        <f t="shared" si="9"/>
        <v>17.247152839795543</v>
      </c>
      <c r="BH40" s="215">
        <f t="shared" si="9"/>
        <v>17.247152839795543</v>
      </c>
      <c r="BI40" s="215">
        <f t="shared" si="9"/>
        <v>17.247152839795543</v>
      </c>
      <c r="BJ40" s="215">
        <f t="shared" si="9"/>
        <v>17.247152839795543</v>
      </c>
      <c r="BK40" s="215">
        <f t="shared" si="9"/>
        <v>17.247152839795543</v>
      </c>
      <c r="BL40" s="215">
        <f t="shared" si="9"/>
        <v>17.247152839795543</v>
      </c>
      <c r="BM40" s="215">
        <f t="shared" si="9"/>
        <v>17.247152839795543</v>
      </c>
      <c r="BN40" s="215">
        <f t="shared" si="9"/>
        <v>17.247152839795543</v>
      </c>
      <c r="BO40" s="215">
        <f t="shared" si="9"/>
        <v>17.247152839795543</v>
      </c>
      <c r="BP40" s="215">
        <f t="shared" si="9"/>
        <v>17.247152839795543</v>
      </c>
      <c r="BQ40" s="215">
        <f t="shared" si="9"/>
        <v>17.247152839795543</v>
      </c>
      <c r="BR40" s="215">
        <f t="shared" si="9"/>
        <v>17.247152839795543</v>
      </c>
      <c r="BS40" s="215">
        <f t="shared" si="9"/>
        <v>17.247152839795543</v>
      </c>
      <c r="BT40" s="215">
        <f t="shared" si="9"/>
        <v>17.247152839795543</v>
      </c>
      <c r="BU40" s="215">
        <f t="shared" si="9"/>
        <v>17.247152839795543</v>
      </c>
      <c r="BV40" s="215">
        <f t="shared" si="9"/>
        <v>17.247152839795543</v>
      </c>
      <c r="BW40" s="215">
        <f t="shared" si="9"/>
        <v>17.247152839795543</v>
      </c>
      <c r="BX40" s="215">
        <f t="shared" si="9"/>
        <v>17.247152839795543</v>
      </c>
      <c r="BY40" s="215">
        <f t="shared" si="9"/>
        <v>17.247152839795543</v>
      </c>
      <c r="BZ40" s="215">
        <f t="shared" si="9"/>
        <v>17.247152839795543</v>
      </c>
      <c r="CA40" s="215">
        <f t="shared" si="9"/>
        <v>17.247152839795543</v>
      </c>
      <c r="CB40" s="215">
        <f t="shared" si="9"/>
        <v>17.247152839795543</v>
      </c>
      <c r="CC40" s="215">
        <f t="shared" si="9"/>
        <v>17.247152839795543</v>
      </c>
      <c r="CD40" s="215">
        <f t="shared" si="9"/>
        <v>17.247152839795543</v>
      </c>
      <c r="CE40" s="215">
        <f t="shared" si="9"/>
        <v>17.247152839795543</v>
      </c>
      <c r="CF40" s="215">
        <f t="shared" ref="CF40:CT40" si="10">$X$33</f>
        <v>17.247152839795543</v>
      </c>
      <c r="CG40" s="215">
        <f t="shared" si="10"/>
        <v>17.247152839795543</v>
      </c>
      <c r="CH40" s="215">
        <f t="shared" si="10"/>
        <v>17.247152839795543</v>
      </c>
      <c r="CI40" s="215">
        <f t="shared" si="10"/>
        <v>17.247152839795543</v>
      </c>
      <c r="CJ40" s="215">
        <f t="shared" si="10"/>
        <v>17.247152839795543</v>
      </c>
      <c r="CK40" s="215">
        <f t="shared" si="10"/>
        <v>17.247152839795543</v>
      </c>
      <c r="CL40" s="215">
        <f t="shared" si="10"/>
        <v>17.247152839795543</v>
      </c>
      <c r="CM40" s="215">
        <f t="shared" si="10"/>
        <v>17.247152839795543</v>
      </c>
      <c r="CN40" s="215">
        <f t="shared" si="10"/>
        <v>17.247152839795543</v>
      </c>
      <c r="CO40" s="215">
        <f t="shared" si="10"/>
        <v>17.247152839795543</v>
      </c>
      <c r="CP40" s="215">
        <f t="shared" si="10"/>
        <v>17.247152839795543</v>
      </c>
      <c r="CQ40" s="215">
        <f t="shared" si="10"/>
        <v>17.247152839795543</v>
      </c>
      <c r="CR40" s="215">
        <f t="shared" si="10"/>
        <v>17.247152839795543</v>
      </c>
      <c r="CS40" s="215">
        <f t="shared" si="10"/>
        <v>17.247152839795543</v>
      </c>
      <c r="CT40" s="215">
        <f t="shared" si="10"/>
        <v>17.247152839795543</v>
      </c>
    </row>
    <row r="41" spans="1:98" x14ac:dyDescent="0.25">
      <c r="A41" s="140">
        <f t="shared" si="1"/>
        <v>40</v>
      </c>
      <c r="B41" s="7">
        <f>SPC!AQ$37</f>
        <v>17.223772299417032</v>
      </c>
      <c r="C41" s="3">
        <f t="shared" si="2"/>
        <v>-0.84469985260820879</v>
      </c>
      <c r="D41" s="4">
        <f t="shared" si="3"/>
        <v>0.28000000000000003</v>
      </c>
      <c r="E41" s="3">
        <f t="shared" si="0"/>
        <v>0.19913922089758435</v>
      </c>
      <c r="F41" s="3">
        <f t="shared" si="4"/>
        <v>19.913922089758433</v>
      </c>
      <c r="G41" s="142"/>
      <c r="H41" s="142"/>
      <c r="I41" s="142"/>
      <c r="J41" s="142"/>
      <c r="K41" s="142"/>
      <c r="L41" s="5"/>
      <c r="M41" s="149"/>
      <c r="P41" s="120"/>
      <c r="Q41" s="176"/>
      <c r="R41" s="88"/>
      <c r="S41" s="164" t="s">
        <v>51</v>
      </c>
      <c r="T41" s="216">
        <f t="shared" ref="T41:CE41" si="11">$U$33</f>
        <v>17.228586613750199</v>
      </c>
      <c r="U41" s="198">
        <f t="shared" si="11"/>
        <v>17.228586613750199</v>
      </c>
      <c r="V41" s="198">
        <f t="shared" si="11"/>
        <v>17.228586613750199</v>
      </c>
      <c r="W41" s="198">
        <f t="shared" si="11"/>
        <v>17.228586613750199</v>
      </c>
      <c r="X41" s="198">
        <f t="shared" si="11"/>
        <v>17.228586613750199</v>
      </c>
      <c r="Y41" s="198">
        <f t="shared" si="11"/>
        <v>17.228586613750199</v>
      </c>
      <c r="Z41" s="198">
        <f t="shared" si="11"/>
        <v>17.228586613750199</v>
      </c>
      <c r="AA41" s="198">
        <f t="shared" si="11"/>
        <v>17.228586613750199</v>
      </c>
      <c r="AB41" s="198">
        <f t="shared" si="11"/>
        <v>17.228586613750199</v>
      </c>
      <c r="AC41" s="198">
        <f t="shared" si="11"/>
        <v>17.228586613750199</v>
      </c>
      <c r="AD41" s="198">
        <f t="shared" si="11"/>
        <v>17.228586613750199</v>
      </c>
      <c r="AE41" s="198">
        <f t="shared" si="11"/>
        <v>17.228586613750199</v>
      </c>
      <c r="AF41" s="198">
        <f t="shared" si="11"/>
        <v>17.228586613750199</v>
      </c>
      <c r="AG41" s="198">
        <f t="shared" si="11"/>
        <v>17.228586613750199</v>
      </c>
      <c r="AH41" s="198">
        <f t="shared" si="11"/>
        <v>17.228586613750199</v>
      </c>
      <c r="AI41" s="198">
        <f t="shared" si="11"/>
        <v>17.228586613750199</v>
      </c>
      <c r="AJ41" s="198">
        <f t="shared" si="11"/>
        <v>17.228586613750199</v>
      </c>
      <c r="AK41" s="198">
        <f t="shared" si="11"/>
        <v>17.228586613750199</v>
      </c>
      <c r="AL41" s="198">
        <f t="shared" si="11"/>
        <v>17.228586613750199</v>
      </c>
      <c r="AM41" s="198">
        <f t="shared" si="11"/>
        <v>17.228586613750199</v>
      </c>
      <c r="AN41" s="198">
        <f t="shared" si="11"/>
        <v>17.228586613750199</v>
      </c>
      <c r="AO41" s="198">
        <f t="shared" si="11"/>
        <v>17.228586613750199</v>
      </c>
      <c r="AP41" s="198">
        <f t="shared" si="11"/>
        <v>17.228586613750199</v>
      </c>
      <c r="AQ41" s="198">
        <f t="shared" si="11"/>
        <v>17.228586613750199</v>
      </c>
      <c r="AR41" s="198">
        <f t="shared" si="11"/>
        <v>17.228586613750199</v>
      </c>
      <c r="AS41" s="198">
        <f t="shared" si="11"/>
        <v>17.228586613750199</v>
      </c>
      <c r="AT41" s="198">
        <f t="shared" si="11"/>
        <v>17.228586613750199</v>
      </c>
      <c r="AU41" s="198">
        <f t="shared" si="11"/>
        <v>17.228586613750199</v>
      </c>
      <c r="AV41" s="198">
        <f t="shared" si="11"/>
        <v>17.228586613750199</v>
      </c>
      <c r="AW41" s="198">
        <f t="shared" si="11"/>
        <v>17.228586613750199</v>
      </c>
      <c r="AX41" s="198">
        <f t="shared" si="11"/>
        <v>17.228586613750199</v>
      </c>
      <c r="AY41" s="198">
        <f t="shared" si="11"/>
        <v>17.228586613750199</v>
      </c>
      <c r="AZ41" s="198">
        <f t="shared" si="11"/>
        <v>17.228586613750199</v>
      </c>
      <c r="BA41" s="198">
        <f t="shared" si="11"/>
        <v>17.228586613750199</v>
      </c>
      <c r="BB41" s="198">
        <f t="shared" si="11"/>
        <v>17.228586613750199</v>
      </c>
      <c r="BC41" s="198">
        <f t="shared" si="11"/>
        <v>17.228586613750199</v>
      </c>
      <c r="BD41" s="198">
        <f t="shared" si="11"/>
        <v>17.228586613750199</v>
      </c>
      <c r="BE41" s="198">
        <f t="shared" si="11"/>
        <v>17.228586613750199</v>
      </c>
      <c r="BF41" s="198">
        <f t="shared" si="11"/>
        <v>17.228586613750199</v>
      </c>
      <c r="BG41" s="198">
        <f t="shared" si="11"/>
        <v>17.228586613750199</v>
      </c>
      <c r="BH41" s="198">
        <f t="shared" si="11"/>
        <v>17.228586613750199</v>
      </c>
      <c r="BI41" s="198">
        <f t="shared" si="11"/>
        <v>17.228586613750199</v>
      </c>
      <c r="BJ41" s="198">
        <f t="shared" si="11"/>
        <v>17.228586613750199</v>
      </c>
      <c r="BK41" s="198">
        <f t="shared" si="11"/>
        <v>17.228586613750199</v>
      </c>
      <c r="BL41" s="198">
        <f t="shared" si="11"/>
        <v>17.228586613750199</v>
      </c>
      <c r="BM41" s="198">
        <f t="shared" si="11"/>
        <v>17.228586613750199</v>
      </c>
      <c r="BN41" s="198">
        <f t="shared" si="11"/>
        <v>17.228586613750199</v>
      </c>
      <c r="BO41" s="198">
        <f t="shared" si="11"/>
        <v>17.228586613750199</v>
      </c>
      <c r="BP41" s="198">
        <f t="shared" si="11"/>
        <v>17.228586613750199</v>
      </c>
      <c r="BQ41" s="198">
        <f t="shared" si="11"/>
        <v>17.228586613750199</v>
      </c>
      <c r="BR41" s="198">
        <f t="shared" si="11"/>
        <v>17.228586613750199</v>
      </c>
      <c r="BS41" s="198">
        <f t="shared" si="11"/>
        <v>17.228586613750199</v>
      </c>
      <c r="BT41" s="198">
        <f t="shared" si="11"/>
        <v>17.228586613750199</v>
      </c>
      <c r="BU41" s="198">
        <f t="shared" si="11"/>
        <v>17.228586613750199</v>
      </c>
      <c r="BV41" s="198">
        <f t="shared" si="11"/>
        <v>17.228586613750199</v>
      </c>
      <c r="BW41" s="198">
        <f t="shared" si="11"/>
        <v>17.228586613750199</v>
      </c>
      <c r="BX41" s="198">
        <f t="shared" si="11"/>
        <v>17.228586613750199</v>
      </c>
      <c r="BY41" s="198">
        <f t="shared" si="11"/>
        <v>17.228586613750199</v>
      </c>
      <c r="BZ41" s="198">
        <f t="shared" si="11"/>
        <v>17.228586613750199</v>
      </c>
      <c r="CA41" s="198">
        <f t="shared" si="11"/>
        <v>17.228586613750199</v>
      </c>
      <c r="CB41" s="198">
        <f t="shared" si="11"/>
        <v>17.228586613750199</v>
      </c>
      <c r="CC41" s="198">
        <f t="shared" si="11"/>
        <v>17.228586613750199</v>
      </c>
      <c r="CD41" s="198">
        <f t="shared" si="11"/>
        <v>17.228586613750199</v>
      </c>
      <c r="CE41" s="198">
        <f t="shared" si="11"/>
        <v>17.228586613750199</v>
      </c>
      <c r="CF41" s="198">
        <f t="shared" ref="CF41:CT41" si="12">$U$33</f>
        <v>17.228586613750199</v>
      </c>
      <c r="CG41" s="198">
        <f t="shared" si="12"/>
        <v>17.228586613750199</v>
      </c>
      <c r="CH41" s="198">
        <f t="shared" si="12"/>
        <v>17.228586613750199</v>
      </c>
      <c r="CI41" s="198">
        <f t="shared" si="12"/>
        <v>17.228586613750199</v>
      </c>
      <c r="CJ41" s="198">
        <f t="shared" si="12"/>
        <v>17.228586613750199</v>
      </c>
      <c r="CK41" s="198">
        <f t="shared" si="12"/>
        <v>17.228586613750199</v>
      </c>
      <c r="CL41" s="198">
        <f t="shared" si="12"/>
        <v>17.228586613750199</v>
      </c>
      <c r="CM41" s="198">
        <f t="shared" si="12"/>
        <v>17.228586613750199</v>
      </c>
      <c r="CN41" s="198">
        <f t="shared" si="12"/>
        <v>17.228586613750199</v>
      </c>
      <c r="CO41" s="198">
        <f t="shared" si="12"/>
        <v>17.228586613750199</v>
      </c>
      <c r="CP41" s="198">
        <f t="shared" si="12"/>
        <v>17.228586613750199</v>
      </c>
      <c r="CQ41" s="198">
        <f t="shared" si="12"/>
        <v>17.228586613750199</v>
      </c>
      <c r="CR41" s="198">
        <f t="shared" si="12"/>
        <v>17.228586613750199</v>
      </c>
      <c r="CS41" s="198">
        <f t="shared" si="12"/>
        <v>17.228586613750199</v>
      </c>
      <c r="CT41" s="198">
        <f t="shared" si="12"/>
        <v>17.228586613750199</v>
      </c>
    </row>
    <row r="42" spans="1:98" x14ac:dyDescent="0.25">
      <c r="A42" s="140">
        <f t="shared" si="1"/>
        <v>41</v>
      </c>
      <c r="B42" s="7">
        <f>SPC!AR$37</f>
        <v>17.232445480875615</v>
      </c>
      <c r="C42" s="3">
        <f t="shared" si="2"/>
        <v>0.65351435382403833</v>
      </c>
      <c r="D42" s="4">
        <f t="shared" si="3"/>
        <v>0.54</v>
      </c>
      <c r="E42" s="3">
        <f t="shared" si="0"/>
        <v>0.74328763059357206</v>
      </c>
      <c r="F42" s="3">
        <f t="shared" si="4"/>
        <v>74.3287630593572</v>
      </c>
      <c r="G42" s="142"/>
      <c r="H42" s="142"/>
      <c r="I42" s="142"/>
      <c r="J42" s="142"/>
      <c r="K42" s="142"/>
      <c r="L42" s="5"/>
      <c r="M42" s="149"/>
      <c r="P42" s="121"/>
      <c r="Q42" s="176"/>
      <c r="R42" s="88"/>
      <c r="S42" s="164" t="s">
        <v>58</v>
      </c>
      <c r="T42" s="216">
        <f t="shared" ref="T42:CE42" si="13">$X$34</f>
        <v>17.210020387704855</v>
      </c>
      <c r="U42" s="198">
        <f t="shared" si="13"/>
        <v>17.210020387704855</v>
      </c>
      <c r="V42" s="198">
        <f t="shared" si="13"/>
        <v>17.210020387704855</v>
      </c>
      <c r="W42" s="198">
        <f t="shared" si="13"/>
        <v>17.210020387704855</v>
      </c>
      <c r="X42" s="198">
        <f t="shared" si="13"/>
        <v>17.210020387704855</v>
      </c>
      <c r="Y42" s="198">
        <f t="shared" si="13"/>
        <v>17.210020387704855</v>
      </c>
      <c r="Z42" s="198">
        <f t="shared" si="13"/>
        <v>17.210020387704855</v>
      </c>
      <c r="AA42" s="198">
        <f t="shared" si="13"/>
        <v>17.210020387704855</v>
      </c>
      <c r="AB42" s="198">
        <f t="shared" si="13"/>
        <v>17.210020387704855</v>
      </c>
      <c r="AC42" s="198">
        <f t="shared" si="13"/>
        <v>17.210020387704855</v>
      </c>
      <c r="AD42" s="198">
        <f t="shared" si="13"/>
        <v>17.210020387704855</v>
      </c>
      <c r="AE42" s="198">
        <f t="shared" si="13"/>
        <v>17.210020387704855</v>
      </c>
      <c r="AF42" s="198">
        <f t="shared" si="13"/>
        <v>17.210020387704855</v>
      </c>
      <c r="AG42" s="198">
        <f t="shared" si="13"/>
        <v>17.210020387704855</v>
      </c>
      <c r="AH42" s="198">
        <f t="shared" si="13"/>
        <v>17.210020387704855</v>
      </c>
      <c r="AI42" s="198">
        <f t="shared" si="13"/>
        <v>17.210020387704855</v>
      </c>
      <c r="AJ42" s="198">
        <f t="shared" si="13"/>
        <v>17.210020387704855</v>
      </c>
      <c r="AK42" s="198">
        <f t="shared" si="13"/>
        <v>17.210020387704855</v>
      </c>
      <c r="AL42" s="198">
        <f t="shared" si="13"/>
        <v>17.210020387704855</v>
      </c>
      <c r="AM42" s="198">
        <f t="shared" si="13"/>
        <v>17.210020387704855</v>
      </c>
      <c r="AN42" s="198">
        <f t="shared" si="13"/>
        <v>17.210020387704855</v>
      </c>
      <c r="AO42" s="198">
        <f t="shared" si="13"/>
        <v>17.210020387704855</v>
      </c>
      <c r="AP42" s="198">
        <f t="shared" si="13"/>
        <v>17.210020387704855</v>
      </c>
      <c r="AQ42" s="198">
        <f t="shared" si="13"/>
        <v>17.210020387704855</v>
      </c>
      <c r="AR42" s="198">
        <f t="shared" si="13"/>
        <v>17.210020387704855</v>
      </c>
      <c r="AS42" s="198">
        <f t="shared" si="13"/>
        <v>17.210020387704855</v>
      </c>
      <c r="AT42" s="198">
        <f t="shared" si="13"/>
        <v>17.210020387704855</v>
      </c>
      <c r="AU42" s="198">
        <f t="shared" si="13"/>
        <v>17.210020387704855</v>
      </c>
      <c r="AV42" s="198">
        <f t="shared" si="13"/>
        <v>17.210020387704855</v>
      </c>
      <c r="AW42" s="198">
        <f t="shared" si="13"/>
        <v>17.210020387704855</v>
      </c>
      <c r="AX42" s="198">
        <f t="shared" si="13"/>
        <v>17.210020387704855</v>
      </c>
      <c r="AY42" s="198">
        <f t="shared" si="13"/>
        <v>17.210020387704855</v>
      </c>
      <c r="AZ42" s="198">
        <f t="shared" si="13"/>
        <v>17.210020387704855</v>
      </c>
      <c r="BA42" s="198">
        <f t="shared" si="13"/>
        <v>17.210020387704855</v>
      </c>
      <c r="BB42" s="198">
        <f t="shared" si="13"/>
        <v>17.210020387704855</v>
      </c>
      <c r="BC42" s="198">
        <f t="shared" si="13"/>
        <v>17.210020387704855</v>
      </c>
      <c r="BD42" s="198">
        <f t="shared" si="13"/>
        <v>17.210020387704855</v>
      </c>
      <c r="BE42" s="198">
        <f t="shared" si="13"/>
        <v>17.210020387704855</v>
      </c>
      <c r="BF42" s="198">
        <f t="shared" si="13"/>
        <v>17.210020387704855</v>
      </c>
      <c r="BG42" s="198">
        <f t="shared" si="13"/>
        <v>17.210020387704855</v>
      </c>
      <c r="BH42" s="198">
        <f t="shared" si="13"/>
        <v>17.210020387704855</v>
      </c>
      <c r="BI42" s="198">
        <f t="shared" si="13"/>
        <v>17.210020387704855</v>
      </c>
      <c r="BJ42" s="198">
        <f t="shared" si="13"/>
        <v>17.210020387704855</v>
      </c>
      <c r="BK42" s="198">
        <f t="shared" si="13"/>
        <v>17.210020387704855</v>
      </c>
      <c r="BL42" s="198">
        <f t="shared" si="13"/>
        <v>17.210020387704855</v>
      </c>
      <c r="BM42" s="198">
        <f t="shared" si="13"/>
        <v>17.210020387704855</v>
      </c>
      <c r="BN42" s="198">
        <f t="shared" si="13"/>
        <v>17.210020387704855</v>
      </c>
      <c r="BO42" s="198">
        <f t="shared" si="13"/>
        <v>17.210020387704855</v>
      </c>
      <c r="BP42" s="198">
        <f t="shared" si="13"/>
        <v>17.210020387704855</v>
      </c>
      <c r="BQ42" s="198">
        <f t="shared" si="13"/>
        <v>17.210020387704855</v>
      </c>
      <c r="BR42" s="198">
        <f t="shared" si="13"/>
        <v>17.210020387704855</v>
      </c>
      <c r="BS42" s="198">
        <f t="shared" si="13"/>
        <v>17.210020387704855</v>
      </c>
      <c r="BT42" s="198">
        <f t="shared" si="13"/>
        <v>17.210020387704855</v>
      </c>
      <c r="BU42" s="198">
        <f t="shared" si="13"/>
        <v>17.210020387704855</v>
      </c>
      <c r="BV42" s="198">
        <f t="shared" si="13"/>
        <v>17.210020387704855</v>
      </c>
      <c r="BW42" s="198">
        <f t="shared" si="13"/>
        <v>17.210020387704855</v>
      </c>
      <c r="BX42" s="198">
        <f t="shared" si="13"/>
        <v>17.210020387704855</v>
      </c>
      <c r="BY42" s="198">
        <f t="shared" si="13"/>
        <v>17.210020387704855</v>
      </c>
      <c r="BZ42" s="198">
        <f t="shared" si="13"/>
        <v>17.210020387704855</v>
      </c>
      <c r="CA42" s="198">
        <f t="shared" si="13"/>
        <v>17.210020387704855</v>
      </c>
      <c r="CB42" s="198">
        <f t="shared" si="13"/>
        <v>17.210020387704855</v>
      </c>
      <c r="CC42" s="198">
        <f t="shared" si="13"/>
        <v>17.210020387704855</v>
      </c>
      <c r="CD42" s="198">
        <f t="shared" si="13"/>
        <v>17.210020387704855</v>
      </c>
      <c r="CE42" s="198">
        <f t="shared" si="13"/>
        <v>17.210020387704855</v>
      </c>
      <c r="CF42" s="198">
        <f t="shared" ref="CF42:CT42" si="14">$X$34</f>
        <v>17.210020387704855</v>
      </c>
      <c r="CG42" s="198">
        <f t="shared" si="14"/>
        <v>17.210020387704855</v>
      </c>
      <c r="CH42" s="198">
        <f t="shared" si="14"/>
        <v>17.210020387704855</v>
      </c>
      <c r="CI42" s="198">
        <f t="shared" si="14"/>
        <v>17.210020387704855</v>
      </c>
      <c r="CJ42" s="198">
        <f t="shared" si="14"/>
        <v>17.210020387704855</v>
      </c>
      <c r="CK42" s="198">
        <f t="shared" si="14"/>
        <v>17.210020387704855</v>
      </c>
      <c r="CL42" s="198">
        <f t="shared" si="14"/>
        <v>17.210020387704855</v>
      </c>
      <c r="CM42" s="198">
        <f t="shared" si="14"/>
        <v>17.210020387704855</v>
      </c>
      <c r="CN42" s="198">
        <f t="shared" si="14"/>
        <v>17.210020387704855</v>
      </c>
      <c r="CO42" s="198">
        <f t="shared" si="14"/>
        <v>17.210020387704855</v>
      </c>
      <c r="CP42" s="198">
        <f t="shared" si="14"/>
        <v>17.210020387704855</v>
      </c>
      <c r="CQ42" s="198">
        <f t="shared" si="14"/>
        <v>17.210020387704855</v>
      </c>
      <c r="CR42" s="198">
        <f t="shared" si="14"/>
        <v>17.210020387704855</v>
      </c>
      <c r="CS42" s="198">
        <f t="shared" si="14"/>
        <v>17.210020387704855</v>
      </c>
      <c r="CT42" s="198">
        <f t="shared" si="14"/>
        <v>17.210020387704855</v>
      </c>
    </row>
    <row r="43" spans="1:98" x14ac:dyDescent="0.25">
      <c r="A43" s="140">
        <f t="shared" si="1"/>
        <v>42</v>
      </c>
      <c r="B43" s="7">
        <f>SPC!AS$37</f>
        <v>17.222663910821439</v>
      </c>
      <c r="C43" s="3">
        <f t="shared" si="2"/>
        <v>-1.0361640284813074</v>
      </c>
      <c r="D43" s="4">
        <f t="shared" si="3"/>
        <v>0.04</v>
      </c>
      <c r="E43" s="3">
        <f t="shared" si="0"/>
        <v>0.15006281265045684</v>
      </c>
      <c r="F43" s="3">
        <f t="shared" si="4"/>
        <v>15.006281265045684</v>
      </c>
      <c r="G43" s="142"/>
      <c r="H43" s="142"/>
      <c r="I43" s="142"/>
      <c r="J43" s="142"/>
      <c r="K43" s="142"/>
      <c r="L43" s="5"/>
      <c r="M43" s="149"/>
      <c r="P43" s="119"/>
      <c r="Q43" s="176"/>
      <c r="R43" s="88"/>
      <c r="S43" s="164" t="s">
        <v>61</v>
      </c>
      <c r="T43" s="216">
        <f t="shared" ref="T43:CE43" si="15">$X$35</f>
        <v>6.8022533552614922E-2</v>
      </c>
      <c r="U43" s="198">
        <f t="shared" si="15"/>
        <v>6.8022533552614922E-2</v>
      </c>
      <c r="V43" s="198">
        <f t="shared" si="15"/>
        <v>6.8022533552614922E-2</v>
      </c>
      <c r="W43" s="198">
        <f t="shared" si="15"/>
        <v>6.8022533552614922E-2</v>
      </c>
      <c r="X43" s="198">
        <f t="shared" si="15"/>
        <v>6.8022533552614922E-2</v>
      </c>
      <c r="Y43" s="198">
        <f t="shared" si="15"/>
        <v>6.8022533552614922E-2</v>
      </c>
      <c r="Z43" s="198">
        <f t="shared" si="15"/>
        <v>6.8022533552614922E-2</v>
      </c>
      <c r="AA43" s="198">
        <f t="shared" si="15"/>
        <v>6.8022533552614922E-2</v>
      </c>
      <c r="AB43" s="198">
        <f t="shared" si="15"/>
        <v>6.8022533552614922E-2</v>
      </c>
      <c r="AC43" s="198">
        <f t="shared" si="15"/>
        <v>6.8022533552614922E-2</v>
      </c>
      <c r="AD43" s="198">
        <f t="shared" si="15"/>
        <v>6.8022533552614922E-2</v>
      </c>
      <c r="AE43" s="198">
        <f t="shared" si="15"/>
        <v>6.8022533552614922E-2</v>
      </c>
      <c r="AF43" s="198">
        <f t="shared" si="15"/>
        <v>6.8022533552614922E-2</v>
      </c>
      <c r="AG43" s="198">
        <f t="shared" si="15"/>
        <v>6.8022533552614922E-2</v>
      </c>
      <c r="AH43" s="198">
        <f t="shared" si="15"/>
        <v>6.8022533552614922E-2</v>
      </c>
      <c r="AI43" s="198">
        <f t="shared" si="15"/>
        <v>6.8022533552614922E-2</v>
      </c>
      <c r="AJ43" s="198">
        <f t="shared" si="15"/>
        <v>6.8022533552614922E-2</v>
      </c>
      <c r="AK43" s="198">
        <f t="shared" si="15"/>
        <v>6.8022533552614922E-2</v>
      </c>
      <c r="AL43" s="198">
        <f t="shared" si="15"/>
        <v>6.8022533552614922E-2</v>
      </c>
      <c r="AM43" s="198">
        <f t="shared" si="15"/>
        <v>6.8022533552614922E-2</v>
      </c>
      <c r="AN43" s="198">
        <f t="shared" si="15"/>
        <v>6.8022533552614922E-2</v>
      </c>
      <c r="AO43" s="198">
        <f t="shared" si="15"/>
        <v>6.8022533552614922E-2</v>
      </c>
      <c r="AP43" s="198">
        <f t="shared" si="15"/>
        <v>6.8022533552614922E-2</v>
      </c>
      <c r="AQ43" s="198">
        <f t="shared" si="15"/>
        <v>6.8022533552614922E-2</v>
      </c>
      <c r="AR43" s="198">
        <f t="shared" si="15"/>
        <v>6.8022533552614922E-2</v>
      </c>
      <c r="AS43" s="198">
        <f t="shared" si="15"/>
        <v>6.8022533552614922E-2</v>
      </c>
      <c r="AT43" s="198">
        <f t="shared" si="15"/>
        <v>6.8022533552614922E-2</v>
      </c>
      <c r="AU43" s="198">
        <f t="shared" si="15"/>
        <v>6.8022533552614922E-2</v>
      </c>
      <c r="AV43" s="198">
        <f t="shared" si="15"/>
        <v>6.8022533552614922E-2</v>
      </c>
      <c r="AW43" s="198">
        <f t="shared" si="15"/>
        <v>6.8022533552614922E-2</v>
      </c>
      <c r="AX43" s="198">
        <f t="shared" si="15"/>
        <v>6.8022533552614922E-2</v>
      </c>
      <c r="AY43" s="198">
        <f t="shared" si="15"/>
        <v>6.8022533552614922E-2</v>
      </c>
      <c r="AZ43" s="198">
        <f t="shared" si="15"/>
        <v>6.8022533552614922E-2</v>
      </c>
      <c r="BA43" s="198">
        <f t="shared" si="15"/>
        <v>6.8022533552614922E-2</v>
      </c>
      <c r="BB43" s="198">
        <f t="shared" si="15"/>
        <v>6.8022533552614922E-2</v>
      </c>
      <c r="BC43" s="198">
        <f t="shared" si="15"/>
        <v>6.8022533552614922E-2</v>
      </c>
      <c r="BD43" s="198">
        <f t="shared" si="15"/>
        <v>6.8022533552614922E-2</v>
      </c>
      <c r="BE43" s="198">
        <f t="shared" si="15"/>
        <v>6.8022533552614922E-2</v>
      </c>
      <c r="BF43" s="198">
        <f t="shared" si="15"/>
        <v>6.8022533552614922E-2</v>
      </c>
      <c r="BG43" s="198">
        <f t="shared" si="15"/>
        <v>6.8022533552614922E-2</v>
      </c>
      <c r="BH43" s="198">
        <f t="shared" si="15"/>
        <v>6.8022533552614922E-2</v>
      </c>
      <c r="BI43" s="198">
        <f t="shared" si="15"/>
        <v>6.8022533552614922E-2</v>
      </c>
      <c r="BJ43" s="198">
        <f t="shared" si="15"/>
        <v>6.8022533552614922E-2</v>
      </c>
      <c r="BK43" s="198">
        <f t="shared" si="15"/>
        <v>6.8022533552614922E-2</v>
      </c>
      <c r="BL43" s="198">
        <f t="shared" si="15"/>
        <v>6.8022533552614922E-2</v>
      </c>
      <c r="BM43" s="198">
        <f t="shared" si="15"/>
        <v>6.8022533552614922E-2</v>
      </c>
      <c r="BN43" s="198">
        <f t="shared" si="15"/>
        <v>6.8022533552614922E-2</v>
      </c>
      <c r="BO43" s="198">
        <f t="shared" si="15"/>
        <v>6.8022533552614922E-2</v>
      </c>
      <c r="BP43" s="198">
        <f t="shared" si="15"/>
        <v>6.8022533552614922E-2</v>
      </c>
      <c r="BQ43" s="198">
        <f t="shared" si="15"/>
        <v>6.8022533552614922E-2</v>
      </c>
      <c r="BR43" s="198">
        <f t="shared" si="15"/>
        <v>6.8022533552614922E-2</v>
      </c>
      <c r="BS43" s="198">
        <f t="shared" si="15"/>
        <v>6.8022533552614922E-2</v>
      </c>
      <c r="BT43" s="198">
        <f t="shared" si="15"/>
        <v>6.8022533552614922E-2</v>
      </c>
      <c r="BU43" s="198">
        <f t="shared" si="15"/>
        <v>6.8022533552614922E-2</v>
      </c>
      <c r="BV43" s="198">
        <f t="shared" si="15"/>
        <v>6.8022533552614922E-2</v>
      </c>
      <c r="BW43" s="198">
        <f t="shared" si="15"/>
        <v>6.8022533552614922E-2</v>
      </c>
      <c r="BX43" s="198">
        <f t="shared" si="15"/>
        <v>6.8022533552614922E-2</v>
      </c>
      <c r="BY43" s="198">
        <f t="shared" si="15"/>
        <v>6.8022533552614922E-2</v>
      </c>
      <c r="BZ43" s="198">
        <f t="shared" si="15"/>
        <v>6.8022533552614922E-2</v>
      </c>
      <c r="CA43" s="198">
        <f t="shared" si="15"/>
        <v>6.8022533552614922E-2</v>
      </c>
      <c r="CB43" s="198">
        <f t="shared" si="15"/>
        <v>6.8022533552614922E-2</v>
      </c>
      <c r="CC43" s="198">
        <f t="shared" si="15"/>
        <v>6.8022533552614922E-2</v>
      </c>
      <c r="CD43" s="198">
        <f t="shared" si="15"/>
        <v>6.8022533552614922E-2</v>
      </c>
      <c r="CE43" s="198">
        <f t="shared" si="15"/>
        <v>6.8022533552614922E-2</v>
      </c>
      <c r="CF43" s="198">
        <f t="shared" ref="CF43:CT43" si="16">$X$35</f>
        <v>6.8022533552614922E-2</v>
      </c>
      <c r="CG43" s="198">
        <f t="shared" si="16"/>
        <v>6.8022533552614922E-2</v>
      </c>
      <c r="CH43" s="198">
        <f t="shared" si="16"/>
        <v>6.8022533552614922E-2</v>
      </c>
      <c r="CI43" s="198">
        <f t="shared" si="16"/>
        <v>6.8022533552614922E-2</v>
      </c>
      <c r="CJ43" s="198">
        <f t="shared" si="16"/>
        <v>6.8022533552614922E-2</v>
      </c>
      <c r="CK43" s="198">
        <f t="shared" si="16"/>
        <v>6.8022533552614922E-2</v>
      </c>
      <c r="CL43" s="198">
        <f t="shared" si="16"/>
        <v>6.8022533552614922E-2</v>
      </c>
      <c r="CM43" s="198">
        <f t="shared" si="16"/>
        <v>6.8022533552614922E-2</v>
      </c>
      <c r="CN43" s="198">
        <f t="shared" si="16"/>
        <v>6.8022533552614922E-2</v>
      </c>
      <c r="CO43" s="198">
        <f t="shared" si="16"/>
        <v>6.8022533552614922E-2</v>
      </c>
      <c r="CP43" s="198">
        <f t="shared" si="16"/>
        <v>6.8022533552614922E-2</v>
      </c>
      <c r="CQ43" s="198">
        <f t="shared" si="16"/>
        <v>6.8022533552614922E-2</v>
      </c>
      <c r="CR43" s="198">
        <f t="shared" si="16"/>
        <v>6.8022533552614922E-2</v>
      </c>
      <c r="CS43" s="198">
        <f t="shared" si="16"/>
        <v>6.8022533552614922E-2</v>
      </c>
      <c r="CT43" s="198">
        <f t="shared" si="16"/>
        <v>6.8022533552614922E-2</v>
      </c>
    </row>
    <row r="44" spans="1:98" ht="13.8" thickBot="1" x14ac:dyDescent="0.3">
      <c r="A44" s="140">
        <f t="shared" si="1"/>
        <v>43</v>
      </c>
      <c r="B44" s="7">
        <f>SPC!AT$37</f>
        <v>17.236359515325198</v>
      </c>
      <c r="C44" s="3">
        <f t="shared" si="2"/>
        <v>1.3296286545373965</v>
      </c>
      <c r="D44" s="4">
        <f t="shared" si="3"/>
        <v>0.78</v>
      </c>
      <c r="E44" s="3">
        <f t="shared" si="0"/>
        <v>0.90817967389589449</v>
      </c>
      <c r="F44" s="3">
        <f t="shared" si="4"/>
        <v>90.817967389589455</v>
      </c>
      <c r="G44" s="142"/>
      <c r="H44" s="142"/>
      <c r="I44" s="142"/>
      <c r="J44" s="142"/>
      <c r="K44" s="142"/>
      <c r="L44" s="5"/>
      <c r="M44" s="149"/>
      <c r="P44" s="9"/>
      <c r="Q44" s="176"/>
      <c r="R44" s="88"/>
      <c r="S44" s="164" t="s">
        <v>60</v>
      </c>
      <c r="T44" s="217">
        <f t="shared" ref="T44:CE44" si="17">$U$35</f>
        <v>3.2177168189505639E-2</v>
      </c>
      <c r="U44" s="218">
        <f t="shared" si="17"/>
        <v>3.2177168189505639E-2</v>
      </c>
      <c r="V44" s="218">
        <f t="shared" si="17"/>
        <v>3.2177168189505639E-2</v>
      </c>
      <c r="W44" s="218">
        <f t="shared" si="17"/>
        <v>3.2177168189505639E-2</v>
      </c>
      <c r="X44" s="218">
        <f t="shared" si="17"/>
        <v>3.2177168189505639E-2</v>
      </c>
      <c r="Y44" s="218">
        <f t="shared" si="17"/>
        <v>3.2177168189505639E-2</v>
      </c>
      <c r="Z44" s="218">
        <f t="shared" si="17"/>
        <v>3.2177168189505639E-2</v>
      </c>
      <c r="AA44" s="218">
        <f t="shared" si="17"/>
        <v>3.2177168189505639E-2</v>
      </c>
      <c r="AB44" s="218">
        <f t="shared" si="17"/>
        <v>3.2177168189505639E-2</v>
      </c>
      <c r="AC44" s="218">
        <f t="shared" si="17"/>
        <v>3.2177168189505639E-2</v>
      </c>
      <c r="AD44" s="218">
        <f t="shared" si="17"/>
        <v>3.2177168189505639E-2</v>
      </c>
      <c r="AE44" s="218">
        <f t="shared" si="17"/>
        <v>3.2177168189505639E-2</v>
      </c>
      <c r="AF44" s="218">
        <f t="shared" si="17"/>
        <v>3.2177168189505639E-2</v>
      </c>
      <c r="AG44" s="218">
        <f t="shared" si="17"/>
        <v>3.2177168189505639E-2</v>
      </c>
      <c r="AH44" s="218">
        <f t="shared" si="17"/>
        <v>3.2177168189505639E-2</v>
      </c>
      <c r="AI44" s="218">
        <f t="shared" si="17"/>
        <v>3.2177168189505639E-2</v>
      </c>
      <c r="AJ44" s="218">
        <f t="shared" si="17"/>
        <v>3.2177168189505639E-2</v>
      </c>
      <c r="AK44" s="218">
        <f t="shared" si="17"/>
        <v>3.2177168189505639E-2</v>
      </c>
      <c r="AL44" s="218">
        <f t="shared" si="17"/>
        <v>3.2177168189505639E-2</v>
      </c>
      <c r="AM44" s="218">
        <f t="shared" si="17"/>
        <v>3.2177168189505639E-2</v>
      </c>
      <c r="AN44" s="218">
        <f t="shared" si="17"/>
        <v>3.2177168189505639E-2</v>
      </c>
      <c r="AO44" s="218">
        <f t="shared" si="17"/>
        <v>3.2177168189505639E-2</v>
      </c>
      <c r="AP44" s="218">
        <f t="shared" si="17"/>
        <v>3.2177168189505639E-2</v>
      </c>
      <c r="AQ44" s="218">
        <f t="shared" si="17"/>
        <v>3.2177168189505639E-2</v>
      </c>
      <c r="AR44" s="218">
        <f t="shared" si="17"/>
        <v>3.2177168189505639E-2</v>
      </c>
      <c r="AS44" s="218">
        <f t="shared" si="17"/>
        <v>3.2177168189505639E-2</v>
      </c>
      <c r="AT44" s="218">
        <f t="shared" si="17"/>
        <v>3.2177168189505639E-2</v>
      </c>
      <c r="AU44" s="218">
        <f t="shared" si="17"/>
        <v>3.2177168189505639E-2</v>
      </c>
      <c r="AV44" s="218">
        <f t="shared" si="17"/>
        <v>3.2177168189505639E-2</v>
      </c>
      <c r="AW44" s="218">
        <f t="shared" si="17"/>
        <v>3.2177168189505639E-2</v>
      </c>
      <c r="AX44" s="218">
        <f t="shared" si="17"/>
        <v>3.2177168189505639E-2</v>
      </c>
      <c r="AY44" s="218">
        <f t="shared" si="17"/>
        <v>3.2177168189505639E-2</v>
      </c>
      <c r="AZ44" s="218">
        <f t="shared" si="17"/>
        <v>3.2177168189505639E-2</v>
      </c>
      <c r="BA44" s="218">
        <f t="shared" si="17"/>
        <v>3.2177168189505639E-2</v>
      </c>
      <c r="BB44" s="218">
        <f t="shared" si="17"/>
        <v>3.2177168189505639E-2</v>
      </c>
      <c r="BC44" s="218">
        <f t="shared" si="17"/>
        <v>3.2177168189505639E-2</v>
      </c>
      <c r="BD44" s="218">
        <f t="shared" si="17"/>
        <v>3.2177168189505639E-2</v>
      </c>
      <c r="BE44" s="218">
        <f t="shared" si="17"/>
        <v>3.2177168189505639E-2</v>
      </c>
      <c r="BF44" s="218">
        <f t="shared" si="17"/>
        <v>3.2177168189505639E-2</v>
      </c>
      <c r="BG44" s="218">
        <f t="shared" si="17"/>
        <v>3.2177168189505639E-2</v>
      </c>
      <c r="BH44" s="218">
        <f t="shared" si="17"/>
        <v>3.2177168189505639E-2</v>
      </c>
      <c r="BI44" s="218">
        <f t="shared" si="17"/>
        <v>3.2177168189505639E-2</v>
      </c>
      <c r="BJ44" s="218">
        <f t="shared" si="17"/>
        <v>3.2177168189505639E-2</v>
      </c>
      <c r="BK44" s="218">
        <f t="shared" si="17"/>
        <v>3.2177168189505639E-2</v>
      </c>
      <c r="BL44" s="218">
        <f t="shared" si="17"/>
        <v>3.2177168189505639E-2</v>
      </c>
      <c r="BM44" s="218">
        <f t="shared" si="17"/>
        <v>3.2177168189505639E-2</v>
      </c>
      <c r="BN44" s="218">
        <f t="shared" si="17"/>
        <v>3.2177168189505639E-2</v>
      </c>
      <c r="BO44" s="218">
        <f t="shared" si="17"/>
        <v>3.2177168189505639E-2</v>
      </c>
      <c r="BP44" s="218">
        <f t="shared" si="17"/>
        <v>3.2177168189505639E-2</v>
      </c>
      <c r="BQ44" s="218">
        <f t="shared" si="17"/>
        <v>3.2177168189505639E-2</v>
      </c>
      <c r="BR44" s="218">
        <f t="shared" si="17"/>
        <v>3.2177168189505639E-2</v>
      </c>
      <c r="BS44" s="218">
        <f t="shared" si="17"/>
        <v>3.2177168189505639E-2</v>
      </c>
      <c r="BT44" s="218">
        <f t="shared" si="17"/>
        <v>3.2177168189505639E-2</v>
      </c>
      <c r="BU44" s="218">
        <f t="shared" si="17"/>
        <v>3.2177168189505639E-2</v>
      </c>
      <c r="BV44" s="218">
        <f t="shared" si="17"/>
        <v>3.2177168189505639E-2</v>
      </c>
      <c r="BW44" s="218">
        <f t="shared" si="17"/>
        <v>3.2177168189505639E-2</v>
      </c>
      <c r="BX44" s="218">
        <f t="shared" si="17"/>
        <v>3.2177168189505639E-2</v>
      </c>
      <c r="BY44" s="218">
        <f t="shared" si="17"/>
        <v>3.2177168189505639E-2</v>
      </c>
      <c r="BZ44" s="218">
        <f t="shared" si="17"/>
        <v>3.2177168189505639E-2</v>
      </c>
      <c r="CA44" s="218">
        <f t="shared" si="17"/>
        <v>3.2177168189505639E-2</v>
      </c>
      <c r="CB44" s="218">
        <f t="shared" si="17"/>
        <v>3.2177168189505639E-2</v>
      </c>
      <c r="CC44" s="218">
        <f t="shared" si="17"/>
        <v>3.2177168189505639E-2</v>
      </c>
      <c r="CD44" s="218">
        <f t="shared" si="17"/>
        <v>3.2177168189505639E-2</v>
      </c>
      <c r="CE44" s="218">
        <f t="shared" si="17"/>
        <v>3.2177168189505639E-2</v>
      </c>
      <c r="CF44" s="218">
        <f t="shared" ref="CF44:CT44" si="18">$U$35</f>
        <v>3.2177168189505639E-2</v>
      </c>
      <c r="CG44" s="218">
        <f t="shared" si="18"/>
        <v>3.2177168189505639E-2</v>
      </c>
      <c r="CH44" s="218">
        <f t="shared" si="18"/>
        <v>3.2177168189505639E-2</v>
      </c>
      <c r="CI44" s="218">
        <f t="shared" si="18"/>
        <v>3.2177168189505639E-2</v>
      </c>
      <c r="CJ44" s="218">
        <f t="shared" si="18"/>
        <v>3.2177168189505639E-2</v>
      </c>
      <c r="CK44" s="218">
        <f t="shared" si="18"/>
        <v>3.2177168189505639E-2</v>
      </c>
      <c r="CL44" s="218">
        <f t="shared" si="18"/>
        <v>3.2177168189505639E-2</v>
      </c>
      <c r="CM44" s="218">
        <f t="shared" si="18"/>
        <v>3.2177168189505639E-2</v>
      </c>
      <c r="CN44" s="218">
        <f t="shared" si="18"/>
        <v>3.2177168189505639E-2</v>
      </c>
      <c r="CO44" s="218">
        <f t="shared" si="18"/>
        <v>3.2177168189505639E-2</v>
      </c>
      <c r="CP44" s="218">
        <f t="shared" si="18"/>
        <v>3.2177168189505639E-2</v>
      </c>
      <c r="CQ44" s="218">
        <f t="shared" si="18"/>
        <v>3.2177168189505639E-2</v>
      </c>
      <c r="CR44" s="218">
        <f t="shared" si="18"/>
        <v>3.2177168189505639E-2</v>
      </c>
      <c r="CS44" s="218">
        <f t="shared" si="18"/>
        <v>3.2177168189505639E-2</v>
      </c>
      <c r="CT44" s="218">
        <f t="shared" si="18"/>
        <v>3.2177168189505639E-2</v>
      </c>
    </row>
    <row r="45" spans="1:98" x14ac:dyDescent="0.25">
      <c r="A45" s="140">
        <f t="shared" si="1"/>
        <v>44</v>
      </c>
      <c r="B45" s="7">
        <f>SPC!AU$37</f>
        <v>17.223772299417032</v>
      </c>
      <c r="C45" s="3">
        <f t="shared" si="2"/>
        <v>-0.84469985260820879</v>
      </c>
      <c r="D45" s="4">
        <f t="shared" si="3"/>
        <v>0.28000000000000003</v>
      </c>
      <c r="E45" s="3">
        <f t="shared" si="0"/>
        <v>0.19913922089758435</v>
      </c>
      <c r="F45" s="3">
        <f t="shared" si="4"/>
        <v>19.913922089758433</v>
      </c>
      <c r="G45" s="142"/>
      <c r="H45" s="142"/>
      <c r="I45" s="142"/>
      <c r="J45" s="142"/>
      <c r="K45" s="142"/>
      <c r="L45" s="5"/>
      <c r="M45" s="149"/>
      <c r="P45" s="9"/>
      <c r="Q45" s="177"/>
      <c r="R45" s="88"/>
      <c r="S45" s="164" t="s">
        <v>64</v>
      </c>
      <c r="T45" s="164">
        <f t="shared" ref="T45:CE45" si="19">$X$36</f>
        <v>0</v>
      </c>
      <c r="U45" s="164">
        <f t="shared" si="19"/>
        <v>0</v>
      </c>
      <c r="V45" s="164">
        <f t="shared" si="19"/>
        <v>0</v>
      </c>
      <c r="W45" s="164">
        <f t="shared" si="19"/>
        <v>0</v>
      </c>
      <c r="X45" s="164">
        <f t="shared" si="19"/>
        <v>0</v>
      </c>
      <c r="Y45" s="164">
        <f t="shared" si="19"/>
        <v>0</v>
      </c>
      <c r="Z45" s="164">
        <f t="shared" si="19"/>
        <v>0</v>
      </c>
      <c r="AA45" s="164">
        <f t="shared" si="19"/>
        <v>0</v>
      </c>
      <c r="AB45" s="164">
        <f t="shared" si="19"/>
        <v>0</v>
      </c>
      <c r="AC45" s="164">
        <f t="shared" si="19"/>
        <v>0</v>
      </c>
      <c r="AD45" s="164">
        <f t="shared" si="19"/>
        <v>0</v>
      </c>
      <c r="AE45" s="164">
        <f t="shared" si="19"/>
        <v>0</v>
      </c>
      <c r="AF45" s="164">
        <f t="shared" si="19"/>
        <v>0</v>
      </c>
      <c r="AG45" s="164">
        <f t="shared" si="19"/>
        <v>0</v>
      </c>
      <c r="AH45" s="164">
        <f t="shared" si="19"/>
        <v>0</v>
      </c>
      <c r="AI45" s="164">
        <f t="shared" si="19"/>
        <v>0</v>
      </c>
      <c r="AJ45" s="164">
        <f t="shared" si="19"/>
        <v>0</v>
      </c>
      <c r="AK45" s="164">
        <f t="shared" si="19"/>
        <v>0</v>
      </c>
      <c r="AL45" s="164">
        <f t="shared" si="19"/>
        <v>0</v>
      </c>
      <c r="AM45" s="164">
        <f t="shared" si="19"/>
        <v>0</v>
      </c>
      <c r="AN45" s="164">
        <f t="shared" si="19"/>
        <v>0</v>
      </c>
      <c r="AO45" s="164">
        <f t="shared" si="19"/>
        <v>0</v>
      </c>
      <c r="AP45" s="164">
        <f t="shared" si="19"/>
        <v>0</v>
      </c>
      <c r="AQ45" s="164">
        <f t="shared" si="19"/>
        <v>0</v>
      </c>
      <c r="AR45" s="164">
        <f t="shared" si="19"/>
        <v>0</v>
      </c>
      <c r="AS45" s="164">
        <f t="shared" si="19"/>
        <v>0</v>
      </c>
      <c r="AT45" s="164">
        <f t="shared" si="19"/>
        <v>0</v>
      </c>
      <c r="AU45" s="164">
        <f t="shared" si="19"/>
        <v>0</v>
      </c>
      <c r="AV45" s="164">
        <f t="shared" si="19"/>
        <v>0</v>
      </c>
      <c r="AW45" s="164">
        <f t="shared" si="19"/>
        <v>0</v>
      </c>
      <c r="AX45" s="164">
        <f t="shared" si="19"/>
        <v>0</v>
      </c>
      <c r="AY45" s="164">
        <f t="shared" si="19"/>
        <v>0</v>
      </c>
      <c r="AZ45" s="164">
        <f t="shared" si="19"/>
        <v>0</v>
      </c>
      <c r="BA45" s="164">
        <f t="shared" si="19"/>
        <v>0</v>
      </c>
      <c r="BB45" s="164">
        <f t="shared" si="19"/>
        <v>0</v>
      </c>
      <c r="BC45" s="164">
        <f t="shared" si="19"/>
        <v>0</v>
      </c>
      <c r="BD45" s="164">
        <f t="shared" si="19"/>
        <v>0</v>
      </c>
      <c r="BE45" s="164">
        <f t="shared" si="19"/>
        <v>0</v>
      </c>
      <c r="BF45" s="164">
        <f t="shared" si="19"/>
        <v>0</v>
      </c>
      <c r="BG45" s="164">
        <f t="shared" si="19"/>
        <v>0</v>
      </c>
      <c r="BH45" s="164">
        <f t="shared" si="19"/>
        <v>0</v>
      </c>
      <c r="BI45" s="164">
        <f t="shared" si="19"/>
        <v>0</v>
      </c>
      <c r="BJ45" s="164">
        <f t="shared" si="19"/>
        <v>0</v>
      </c>
      <c r="BK45" s="164">
        <f t="shared" si="19"/>
        <v>0</v>
      </c>
      <c r="BL45" s="164">
        <f t="shared" si="19"/>
        <v>0</v>
      </c>
      <c r="BM45" s="164">
        <f t="shared" si="19"/>
        <v>0</v>
      </c>
      <c r="BN45" s="164">
        <f t="shared" si="19"/>
        <v>0</v>
      </c>
      <c r="BO45" s="164">
        <f t="shared" si="19"/>
        <v>0</v>
      </c>
      <c r="BP45" s="164">
        <f t="shared" si="19"/>
        <v>0</v>
      </c>
      <c r="BQ45" s="164">
        <f t="shared" si="19"/>
        <v>0</v>
      </c>
      <c r="BR45" s="164">
        <f t="shared" si="19"/>
        <v>0</v>
      </c>
      <c r="BS45" s="164">
        <f t="shared" si="19"/>
        <v>0</v>
      </c>
      <c r="BT45" s="164">
        <f t="shared" si="19"/>
        <v>0</v>
      </c>
      <c r="BU45" s="164">
        <f t="shared" si="19"/>
        <v>0</v>
      </c>
      <c r="BV45" s="164">
        <f t="shared" si="19"/>
        <v>0</v>
      </c>
      <c r="BW45" s="164">
        <f t="shared" si="19"/>
        <v>0</v>
      </c>
      <c r="BX45" s="164">
        <f t="shared" si="19"/>
        <v>0</v>
      </c>
      <c r="BY45" s="164">
        <f t="shared" si="19"/>
        <v>0</v>
      </c>
      <c r="BZ45" s="164">
        <f t="shared" si="19"/>
        <v>0</v>
      </c>
      <c r="CA45" s="164">
        <f t="shared" si="19"/>
        <v>0</v>
      </c>
      <c r="CB45" s="164">
        <f t="shared" si="19"/>
        <v>0</v>
      </c>
      <c r="CC45" s="164">
        <f t="shared" si="19"/>
        <v>0</v>
      </c>
      <c r="CD45" s="164">
        <f t="shared" si="19"/>
        <v>0</v>
      </c>
      <c r="CE45" s="164">
        <f t="shared" si="19"/>
        <v>0</v>
      </c>
      <c r="CF45" s="164">
        <f t="shared" ref="CF45:CT45" si="20">$X$36</f>
        <v>0</v>
      </c>
      <c r="CG45" s="164">
        <f t="shared" si="20"/>
        <v>0</v>
      </c>
      <c r="CH45" s="164">
        <f t="shared" si="20"/>
        <v>0</v>
      </c>
      <c r="CI45" s="164">
        <f t="shared" si="20"/>
        <v>0</v>
      </c>
      <c r="CJ45" s="164">
        <f t="shared" si="20"/>
        <v>0</v>
      </c>
      <c r="CK45" s="164">
        <f t="shared" si="20"/>
        <v>0</v>
      </c>
      <c r="CL45" s="164">
        <f t="shared" si="20"/>
        <v>0</v>
      </c>
      <c r="CM45" s="164">
        <f t="shared" si="20"/>
        <v>0</v>
      </c>
      <c r="CN45" s="164">
        <f t="shared" si="20"/>
        <v>0</v>
      </c>
      <c r="CO45" s="164">
        <f t="shared" si="20"/>
        <v>0</v>
      </c>
      <c r="CP45" s="164">
        <f t="shared" si="20"/>
        <v>0</v>
      </c>
      <c r="CQ45" s="164">
        <f t="shared" si="20"/>
        <v>0</v>
      </c>
      <c r="CR45" s="164">
        <f t="shared" si="20"/>
        <v>0</v>
      </c>
      <c r="CS45" s="164">
        <f t="shared" si="20"/>
        <v>0</v>
      </c>
      <c r="CT45" s="164">
        <f t="shared" si="20"/>
        <v>0</v>
      </c>
    </row>
    <row r="46" spans="1:98" x14ac:dyDescent="0.25">
      <c r="A46" s="140">
        <f t="shared" si="1"/>
        <v>45</v>
      </c>
      <c r="B46" s="7">
        <f>SPC!AV$37</f>
        <v>17.232445480875615</v>
      </c>
      <c r="C46" s="3">
        <f t="shared" si="2"/>
        <v>0.65351435382403833</v>
      </c>
      <c r="D46" s="4">
        <f t="shared" si="3"/>
        <v>0.54</v>
      </c>
      <c r="E46" s="3">
        <f t="shared" si="0"/>
        <v>0.74328763059357206</v>
      </c>
      <c r="F46" s="3">
        <f t="shared" si="4"/>
        <v>74.3287630593572</v>
      </c>
      <c r="G46" s="142"/>
      <c r="H46" s="142"/>
      <c r="I46" s="142"/>
      <c r="J46" s="142"/>
      <c r="K46" s="142"/>
      <c r="L46" s="5"/>
      <c r="M46" s="149"/>
      <c r="P46" s="10"/>
      <c r="Q46" s="177"/>
      <c r="R46" s="88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26"/>
      <c r="AT46" s="26"/>
      <c r="BU46" s="26"/>
      <c r="BV46" s="178"/>
      <c r="BW46" s="26"/>
    </row>
    <row r="47" spans="1:98" ht="15.6" x14ac:dyDescent="0.3">
      <c r="A47" s="140">
        <f t="shared" si="1"/>
        <v>46</v>
      </c>
      <c r="B47" s="7">
        <f>SPC!AW$37</f>
        <v>17.222663910821439</v>
      </c>
      <c r="C47" s="3">
        <f t="shared" si="2"/>
        <v>-1.0361640284813074</v>
      </c>
      <c r="D47" s="4">
        <f t="shared" si="3"/>
        <v>0.04</v>
      </c>
      <c r="E47" s="3">
        <f t="shared" si="0"/>
        <v>0.15006281265045684</v>
      </c>
      <c r="F47" s="3">
        <f t="shared" si="4"/>
        <v>15.006281265045684</v>
      </c>
      <c r="G47" s="142"/>
      <c r="H47" s="142"/>
      <c r="I47" s="142"/>
      <c r="J47" s="142"/>
      <c r="K47" s="142"/>
      <c r="L47" s="5"/>
      <c r="M47" s="149"/>
      <c r="P47" s="66"/>
      <c r="Q47" s="168"/>
      <c r="R47" s="88"/>
      <c r="S47" s="164" t="s">
        <v>66</v>
      </c>
      <c r="T47" s="88"/>
      <c r="U47" s="164">
        <f>IF(SPC!D37&gt;SPC!C37,1,0)</f>
        <v>1</v>
      </c>
      <c r="V47" s="164">
        <f>IF(SPC!E37&gt;SPC!D37,1,0)</f>
        <v>0</v>
      </c>
      <c r="W47" s="164">
        <f>IF(SPC!F37&gt;SPC!E37,1,0)</f>
        <v>1</v>
      </c>
      <c r="X47" s="164">
        <f>IF(SPC!G37&gt;SPC!F37,1,0)</f>
        <v>0</v>
      </c>
      <c r="Y47" s="164">
        <f>IF(SPC!H37&gt;SPC!G37,1,0)</f>
        <v>1</v>
      </c>
      <c r="Z47" s="164">
        <f>IF(SPC!I37&gt;SPC!H37,1,0)</f>
        <v>0</v>
      </c>
      <c r="AA47" s="164">
        <f>IF(SPC!J37&gt;SPC!I37,1,0)</f>
        <v>1</v>
      </c>
      <c r="AB47" s="164">
        <f>IF(SPC!K37&gt;SPC!J37,1,0)</f>
        <v>0</v>
      </c>
      <c r="AC47" s="164">
        <f>IF(SPC!L37&gt;SPC!K37,1,0)</f>
        <v>1</v>
      </c>
      <c r="AD47" s="164">
        <f>IF(SPC!M37&gt;SPC!L37,1,0)</f>
        <v>0</v>
      </c>
      <c r="AE47" s="164">
        <f>IF(SPC!N37&gt;SPC!M37,1,0)</f>
        <v>1</v>
      </c>
      <c r="AF47" s="164">
        <f>IF(SPC!O37&gt;SPC!N37,1,0)</f>
        <v>0</v>
      </c>
      <c r="AG47" s="164">
        <f>IF(SPC!P37&gt;SPC!O37,1,0)</f>
        <v>1</v>
      </c>
      <c r="AH47" s="164">
        <f>IF(SPC!Q37&gt;SPC!P37,1,0)</f>
        <v>0</v>
      </c>
      <c r="AI47" s="164">
        <f>IF(SPC!R37&gt;SPC!Q37,1,0)</f>
        <v>1</v>
      </c>
      <c r="AJ47" s="164">
        <f>IF(SPC!S37&gt;SPC!R37,1,0)</f>
        <v>0</v>
      </c>
      <c r="AK47" s="164">
        <f>IF(SPC!T37&gt;SPC!S37,1,0)</f>
        <v>1</v>
      </c>
      <c r="AL47" s="164">
        <f>IF(SPC!U37&gt;SPC!T37,1,0)</f>
        <v>0</v>
      </c>
      <c r="AM47" s="164">
        <f>IF(SPC!V37&gt;SPC!U37,1,0)</f>
        <v>1</v>
      </c>
      <c r="AN47" s="164">
        <f>IF(SPC!W37&gt;SPC!V37,1,0)</f>
        <v>0</v>
      </c>
      <c r="AO47" s="164">
        <f>IF(SPC!X37&gt;SPC!W37,1,0)</f>
        <v>1</v>
      </c>
      <c r="AP47" s="164">
        <f>IF(SPC!Y37&gt;SPC!X37,1,0)</f>
        <v>0</v>
      </c>
      <c r="AQ47" s="164">
        <f>IF(SPC!Z37&gt;SPC!Y37,1,0)</f>
        <v>1</v>
      </c>
      <c r="AR47" s="164">
        <f>IF(SPC!AA37&gt;SPC!Z37,1,0)</f>
        <v>0</v>
      </c>
      <c r="AS47" s="164">
        <f>IF(SPC!AC37&gt;SPC!AA37,1,0)</f>
        <v>0</v>
      </c>
      <c r="AT47" s="164">
        <f>IF(SPC!AD37&gt;SPC!AC37,1,0)</f>
        <v>1</v>
      </c>
      <c r="AU47" s="164">
        <f>IF(SPC!AE37&gt;SPC!AD37,1,0)</f>
        <v>0</v>
      </c>
      <c r="AV47" s="164">
        <f>IF(SPC!AF37&gt;SPC!AE37,1,0)</f>
        <v>1</v>
      </c>
      <c r="AW47" s="164">
        <f>IF(SPC!AG37&gt;SPC!AF37,1,0)</f>
        <v>0</v>
      </c>
      <c r="AX47" s="164">
        <f>IF(SPC!AH37&gt;SPC!AG37,1,0)</f>
        <v>1</v>
      </c>
      <c r="AY47" s="164">
        <f>IF(SPC!AI37&gt;SPC!AH37,1,0)</f>
        <v>0</v>
      </c>
      <c r="AZ47" s="164">
        <f>IF(SPC!AJ37&gt;SPC!AI37,1,0)</f>
        <v>1</v>
      </c>
      <c r="BA47" s="164">
        <f>IF(SPC!AK37&gt;SPC!AJ37,1,0)</f>
        <v>0</v>
      </c>
      <c r="BB47" s="164">
        <f>IF(SPC!AL37&gt;SPC!AK37,1,0)</f>
        <v>1</v>
      </c>
      <c r="BC47" s="164">
        <f>IF(SPC!AM37&gt;SPC!AL37,1,0)</f>
        <v>0</v>
      </c>
      <c r="BD47" s="164">
        <f>IF(SPC!AN37&gt;SPC!AM37,1,0)</f>
        <v>1</v>
      </c>
      <c r="BE47" s="164">
        <f>IF(SPC!AO37&gt;SPC!AN37,1,0)</f>
        <v>0</v>
      </c>
      <c r="BF47" s="164">
        <f>IF(SPC!AP37&gt;SPC!AO37,1,0)</f>
        <v>1</v>
      </c>
      <c r="BG47" s="164">
        <f>IF(SPC!AQ37&gt;SPC!AP37,1,0)</f>
        <v>0</v>
      </c>
      <c r="BH47" s="164">
        <f>IF(SPC!AR37&gt;SPC!AQ37,1,0)</f>
        <v>1</v>
      </c>
      <c r="BI47" s="164">
        <f>IF(SPC!AS37&gt;SPC!AR37,1,0)</f>
        <v>0</v>
      </c>
      <c r="BJ47" s="164">
        <f>IF(SPC!AT37&gt;SPC!AS37,1,0)</f>
        <v>1</v>
      </c>
      <c r="BK47" s="164">
        <f>IF(SPC!AU37&gt;SPC!AT37,1,0)</f>
        <v>0</v>
      </c>
      <c r="BL47" s="164">
        <f>IF(SPC!AV37&gt;SPC!AU37,1,0)</f>
        <v>1</v>
      </c>
      <c r="BM47" s="164">
        <f>IF(SPC!AW37&gt;SPC!AV37,1,0)</f>
        <v>0</v>
      </c>
      <c r="BN47" s="164">
        <f>IF(SPC!AX37&gt;SPC!AW37,1,0)</f>
        <v>1</v>
      </c>
      <c r="BO47" s="164">
        <f>IF(SPC!AY37&gt;SPC!AX37,1,0)</f>
        <v>0</v>
      </c>
      <c r="BP47" s="164">
        <f>IF(SPC!AZ37&gt;SPC!AY37,1,0)</f>
        <v>1</v>
      </c>
      <c r="BQ47" s="164">
        <f>IF(P42&gt;SPC!AZ37,1,0)</f>
        <v>0</v>
      </c>
      <c r="BR47" s="164"/>
      <c r="BS47" s="164"/>
      <c r="BT47" s="88"/>
      <c r="BU47" s="88"/>
      <c r="BV47" s="143"/>
      <c r="BW47" s="12"/>
    </row>
    <row r="48" spans="1:98" ht="15.6" x14ac:dyDescent="0.3">
      <c r="A48" s="140">
        <f t="shared" si="1"/>
        <v>47</v>
      </c>
      <c r="B48" s="7">
        <f>SPC!AX$37</f>
        <v>17.236359515325198</v>
      </c>
      <c r="C48" s="3">
        <f t="shared" si="2"/>
        <v>1.3296286545373965</v>
      </c>
      <c r="D48" s="4">
        <f t="shared" si="3"/>
        <v>0.78</v>
      </c>
      <c r="E48" s="3">
        <f t="shared" si="0"/>
        <v>0.90817967389589449</v>
      </c>
      <c r="F48" s="3">
        <f t="shared" si="4"/>
        <v>90.817967389589455</v>
      </c>
      <c r="G48" s="142"/>
      <c r="H48" s="142"/>
      <c r="I48" s="142"/>
      <c r="J48" s="142"/>
      <c r="K48" s="142"/>
      <c r="L48" s="5"/>
      <c r="M48" s="149"/>
      <c r="P48" s="67"/>
      <c r="Q48" s="168"/>
      <c r="R48" s="88"/>
      <c r="S48" s="164" t="s">
        <v>67</v>
      </c>
      <c r="T48" s="88"/>
      <c r="U48" s="164">
        <f>IF(U47=1,T48+U47,0)</f>
        <v>1</v>
      </c>
      <c r="V48" s="164">
        <f>IF(AND(V47=1,SPC!E37&gt;SPC!D37),U48+V47,0)</f>
        <v>0</v>
      </c>
      <c r="W48" s="164">
        <f>IF(AND(W47=1,SPC!F37&gt;SPC!E37),V48+W47,0)</f>
        <v>1</v>
      </c>
      <c r="X48" s="164">
        <f>IF(AND(X47=1,SPC!G37&gt;SPC!F37),W48+X47,0)</f>
        <v>0</v>
      </c>
      <c r="Y48" s="164">
        <f>IF(AND(Y47=1,SPC!H37&gt;SPC!G37),X48+Y47,0)</f>
        <v>1</v>
      </c>
      <c r="Z48" s="164">
        <f>IF(AND(Z47=1,SPC!I37&gt;SPC!H37),Y48+Z47,0)</f>
        <v>0</v>
      </c>
      <c r="AA48" s="164">
        <f>IF(AND(AA47=1,SPC!J37&gt;SPC!I37),Z48+AA47,0)</f>
        <v>1</v>
      </c>
      <c r="AB48" s="164">
        <f>IF(AND(AB47=1,SPC!K37&gt;SPC!J37),AA48+AB47,0)</f>
        <v>0</v>
      </c>
      <c r="AC48" s="164">
        <f>IF(AND(AC47=1,SPC!L37&gt;SPC!K37),AB48+AC47,0)</f>
        <v>1</v>
      </c>
      <c r="AD48" s="164">
        <f>IF(AND(AD47=1,SPC!M37&gt;SPC!L37),AC48+AD47,0)</f>
        <v>0</v>
      </c>
      <c r="AE48" s="164">
        <f>IF(AND(AE47=1,SPC!N37&gt;SPC!M37),AD48+AE47,0)</f>
        <v>1</v>
      </c>
      <c r="AF48" s="164">
        <f>IF(AND(AF47=1,SPC!O37&gt;SPC!N37),AE48+AF47,0)</f>
        <v>0</v>
      </c>
      <c r="AG48" s="164">
        <f>IF(AND(AG47=1,SPC!P37&gt;SPC!O37),AF48+AG47,0)</f>
        <v>1</v>
      </c>
      <c r="AH48" s="164">
        <f>IF(AND(AH47=1,SPC!Q37&gt;SPC!P37),AG48+AH47,0)</f>
        <v>0</v>
      </c>
      <c r="AI48" s="164">
        <f>IF(AND(AI47=1,SPC!R37&gt;SPC!Q37),AH48+AI47,0)</f>
        <v>1</v>
      </c>
      <c r="AJ48" s="164">
        <f>IF(AND(AJ47=1,SPC!S37&gt;SPC!R37),AI48+AJ47,0)</f>
        <v>0</v>
      </c>
      <c r="AK48" s="164">
        <f>IF(AND(AK47=1,SPC!T37&gt;SPC!S37),AJ48+AK47,0)</f>
        <v>1</v>
      </c>
      <c r="AL48" s="164">
        <f>IF(AND(AL47=1,SPC!U37&gt;SPC!T37),AK48+AL47,0)</f>
        <v>0</v>
      </c>
      <c r="AM48" s="164">
        <f>IF(AND(AM47=1,SPC!V37&gt;SPC!U37),AL48+AM47,0)</f>
        <v>1</v>
      </c>
      <c r="AN48" s="164">
        <f>IF(AND(AN47=1,SPC!W37&gt;SPC!V37),AM48+AN47,0)</f>
        <v>0</v>
      </c>
      <c r="AO48" s="164">
        <f>IF(AND(AO47=1,SPC!X37&gt;SPC!W37),AN48+AO47,0)</f>
        <v>1</v>
      </c>
      <c r="AP48" s="164">
        <f>IF(AND(AP47=1,SPC!Y37&gt;SPC!X37),AO48+AP47,0)</f>
        <v>0</v>
      </c>
      <c r="AQ48" s="164">
        <f>IF(AND(AQ47=1,SPC!Z37&gt;SPC!Y37),AP48+AQ47,0)</f>
        <v>1</v>
      </c>
      <c r="AR48" s="164">
        <f>IF(AND(AR47=1,SPC!AA37&gt;SPC!Z37),AQ48+AR47,0)</f>
        <v>0</v>
      </c>
      <c r="AS48" s="164">
        <f>IF(AND(AS47=1,SPC!AC37&gt;SPC!AA37),AR48+AS47,0)</f>
        <v>0</v>
      </c>
      <c r="AT48" s="164">
        <f>IF(AND(AT47=1,SPC!AD37&gt;SPC!AC37),AS48+AT47,0)</f>
        <v>1</v>
      </c>
      <c r="AU48" s="164">
        <f>IF(AND(AU47=1,SPC!AE37&gt;SPC!AD37),AT48+AU47,0)</f>
        <v>0</v>
      </c>
      <c r="AV48" s="164">
        <f>IF(AND(AV47=1,SPC!AF37&gt;SPC!AE37),AU48+AV47,0)</f>
        <v>1</v>
      </c>
      <c r="AW48" s="164">
        <f>IF(AND(AW47=1,SPC!AG37&gt;SPC!AF37),AV48+AW47,0)</f>
        <v>0</v>
      </c>
      <c r="AX48" s="164">
        <f>IF(AND(AX47=1,SPC!AH37&gt;SPC!AG37),AW48+AX47,0)</f>
        <v>1</v>
      </c>
      <c r="AY48" s="164">
        <f>IF(AND(AY47=1,SPC!AI37&gt;SPC!AH37),AX48+AY47,0)</f>
        <v>0</v>
      </c>
      <c r="AZ48" s="164">
        <f>IF(AND(AZ47=1,SPC!AJ37&gt;SPC!AI37),AY48+AZ47,0)</f>
        <v>1</v>
      </c>
      <c r="BA48" s="164">
        <f>IF(AND(BA47=1,SPC!AK37&gt;SPC!AJ37),AZ48+BA47,0)</f>
        <v>0</v>
      </c>
      <c r="BB48" s="164">
        <f>IF(AND(BB47=1,SPC!AL37&gt;SPC!AK37),BA48+BB47,0)</f>
        <v>1</v>
      </c>
      <c r="BC48" s="164">
        <f>IF(AND(BC47=1,SPC!AM37&gt;SPC!AL37),BB48+BC47,0)</f>
        <v>0</v>
      </c>
      <c r="BD48" s="164">
        <f>IF(AND(BD47=1,SPC!AN37&gt;SPC!AM37),BC48+BD47,0)</f>
        <v>1</v>
      </c>
      <c r="BE48" s="164">
        <f>IF(AND(BE47=1,SPC!AO37&gt;SPC!AN37),BD48+BE47,0)</f>
        <v>0</v>
      </c>
      <c r="BF48" s="164">
        <f>IF(AND(BF47=1,SPC!AP37&gt;SPC!AO37),BE48+BF47,0)</f>
        <v>1</v>
      </c>
      <c r="BG48" s="164">
        <f>IF(AND(BG47=1,SPC!AQ37&gt;SPC!AP37),BF48+BG47,0)</f>
        <v>0</v>
      </c>
      <c r="BH48" s="164">
        <f>IF(AND(BH47=1,SPC!AR37&gt;SPC!AQ37),BG48+BH47,0)</f>
        <v>1</v>
      </c>
      <c r="BI48" s="164">
        <f>IF(AND(BI47=1,SPC!AS37&gt;SPC!AR37),BH48+BI47,0)</f>
        <v>0</v>
      </c>
      <c r="BJ48" s="164">
        <f>IF(AND(BJ47=1,SPC!AT37&gt;SPC!AS37),BI48+BJ47,0)</f>
        <v>1</v>
      </c>
      <c r="BK48" s="164">
        <f>IF(AND(BK47=1,SPC!AU37&gt;SPC!AT37),BJ48+BK47,0)</f>
        <v>0</v>
      </c>
      <c r="BL48" s="164">
        <f>IF(AND(BL47=1,SPC!AV37&gt;SPC!AU37),BK48+BL47,0)</f>
        <v>1</v>
      </c>
      <c r="BM48" s="164">
        <f>IF(AND(BM47=1,SPC!AW37&gt;SPC!AV37),BL48+BM47,0)</f>
        <v>0</v>
      </c>
      <c r="BN48" s="164">
        <f>IF(AND(BN47=1,SPC!AX37&gt;SPC!AW37),BM48+BN47,0)</f>
        <v>1</v>
      </c>
      <c r="BO48" s="164">
        <f>IF(AND(BO47=1,SPC!AY37&gt;SPC!AX37),BN48+BO47,0)</f>
        <v>0</v>
      </c>
      <c r="BP48" s="164">
        <f>IF(AND(BP47=1,SPC!AZ37&gt;SPC!AY37),BO48+BP47,0)</f>
        <v>1</v>
      </c>
      <c r="BQ48" s="164">
        <f>IF(AND(BQ47=1,P42&gt;SPC!AZ37),BP48+BQ47,0)</f>
        <v>0</v>
      </c>
      <c r="BR48" s="164"/>
      <c r="BS48" s="164"/>
      <c r="BT48" s="88"/>
      <c r="BU48" s="88"/>
      <c r="BV48" s="143"/>
      <c r="BW48" s="12"/>
    </row>
    <row r="49" spans="1:75" x14ac:dyDescent="0.25">
      <c r="A49" s="140">
        <f t="shared" si="1"/>
        <v>48</v>
      </c>
      <c r="B49" s="7">
        <f>SPC!AY$37</f>
        <v>17.223772299417032</v>
      </c>
      <c r="C49" s="3">
        <f t="shared" si="2"/>
        <v>-0.84469985260820879</v>
      </c>
      <c r="D49" s="4">
        <f t="shared" si="3"/>
        <v>0.28000000000000003</v>
      </c>
      <c r="E49" s="3">
        <f t="shared" si="0"/>
        <v>0.19913922089758435</v>
      </c>
      <c r="F49" s="3">
        <f t="shared" si="4"/>
        <v>19.913922089758433</v>
      </c>
      <c r="G49" s="142"/>
      <c r="H49" s="142"/>
      <c r="I49" s="142"/>
      <c r="J49" s="142"/>
      <c r="K49" s="142"/>
      <c r="L49" s="5"/>
      <c r="M49" s="149"/>
      <c r="P49" s="68"/>
      <c r="Q49" s="168"/>
      <c r="R49" s="88"/>
      <c r="S49" s="164" t="s">
        <v>68</v>
      </c>
      <c r="T49" s="88"/>
      <c r="U49" s="164">
        <f>IF(U47=0,T49+1,0)</f>
        <v>0</v>
      </c>
      <c r="V49" s="164">
        <f>IF(AND(V47=0,SPC!E37&lt;SPC!D37),U49+1,0)</f>
        <v>1</v>
      </c>
      <c r="W49" s="164">
        <f>IF(AND(W47=0,SPC!F37&lt;SPC!E37),V49+1,0)</f>
        <v>0</v>
      </c>
      <c r="X49" s="164">
        <f>IF(AND(X47=0,SPC!G37&lt;SPC!F37),W49+1,0)</f>
        <v>1</v>
      </c>
      <c r="Y49" s="164">
        <f>IF(AND(Y47=0,SPC!H37&lt;SPC!G37),X49+1,0)</f>
        <v>0</v>
      </c>
      <c r="Z49" s="164">
        <f>IF(AND(Z47=0,SPC!I37&lt;SPC!H37),Y49+1,0)</f>
        <v>1</v>
      </c>
      <c r="AA49" s="164">
        <f>IF(AND(AA47=0,SPC!J37&lt;SPC!I37),Z49+1,0)</f>
        <v>0</v>
      </c>
      <c r="AB49" s="164">
        <f>IF(AND(AB47=0,SPC!K37&lt;SPC!J37),AA49+1,0)</f>
        <v>1</v>
      </c>
      <c r="AC49" s="164">
        <f>IF(AND(AC47=0,SPC!L37&lt;SPC!K37),AB49+1,0)</f>
        <v>0</v>
      </c>
      <c r="AD49" s="164">
        <f>IF(AND(AD47=0,SPC!M37&lt;SPC!L37),AC49+1,0)</f>
        <v>1</v>
      </c>
      <c r="AE49" s="164">
        <f>IF(AND(AE47=0,SPC!N37&lt;SPC!M37),AD49+1,0)</f>
        <v>0</v>
      </c>
      <c r="AF49" s="164">
        <f>IF(AND(AF47=0,SPC!O37&lt;SPC!N37),AE49+1,0)</f>
        <v>1</v>
      </c>
      <c r="AG49" s="164">
        <f>IF(AND(AG47=0,SPC!P37&lt;SPC!O37),AF49+1,0)</f>
        <v>0</v>
      </c>
      <c r="AH49" s="164">
        <f>IF(AND(AH47=0,SPC!Q37&lt;SPC!P37),AG49+1,0)</f>
        <v>1</v>
      </c>
      <c r="AI49" s="164">
        <f>IF(AND(AI47=0,SPC!R37&lt;SPC!Q37),AH49+1,0)</f>
        <v>0</v>
      </c>
      <c r="AJ49" s="164">
        <f>IF(AND(AJ47=0,SPC!S37&lt;SPC!R37),AI49+1,0)</f>
        <v>1</v>
      </c>
      <c r="AK49" s="164">
        <f>IF(AND(AK47=0,SPC!T37&lt;SPC!S37),AJ49+1,0)</f>
        <v>0</v>
      </c>
      <c r="AL49" s="164">
        <f>IF(AND(AL47=0,SPC!U37&lt;SPC!T37),AK49+1,0)</f>
        <v>1</v>
      </c>
      <c r="AM49" s="164">
        <f>IF(AND(AM47=0,SPC!V37&lt;SPC!U37),AL49+1,0)</f>
        <v>0</v>
      </c>
      <c r="AN49" s="164">
        <f>IF(AND(AN47=0,SPC!W37&lt;SPC!V37),AM49+1,0)</f>
        <v>1</v>
      </c>
      <c r="AO49" s="164">
        <f>IF(AND(AO47=0,SPC!X37&lt;SPC!W37),AN49+1,0)</f>
        <v>0</v>
      </c>
      <c r="AP49" s="164">
        <f>IF(AND(AP47=0,SPC!Y37&lt;SPC!X37),AO49+1,0)</f>
        <v>1</v>
      </c>
      <c r="AQ49" s="164">
        <f>IF(AND(AQ47=0,SPC!Z37&lt;SPC!Y37),AP49+1,0)</f>
        <v>0</v>
      </c>
      <c r="AR49" s="164">
        <f>IF(AND(AR47=0,SPC!AA37&lt;SPC!Z37),AQ49+1,0)</f>
        <v>1</v>
      </c>
      <c r="AS49" s="164">
        <f>IF(AND(AS47=0,SPC!AC37&lt;SPC!AA37),AR49+1,0)</f>
        <v>2</v>
      </c>
      <c r="AT49" s="164">
        <f>IF(AND(AT47=0,SPC!AD37&lt;SPC!AC37),AS49+1,0)</f>
        <v>0</v>
      </c>
      <c r="AU49" s="164">
        <f>IF(AND(AU47=0,SPC!AE37&lt;SPC!AD37),AT49+1,0)</f>
        <v>1</v>
      </c>
      <c r="AV49" s="164">
        <f>IF(AND(AV47=0,SPC!AF37&lt;SPC!AE37),AU49+1,0)</f>
        <v>0</v>
      </c>
      <c r="AW49" s="164">
        <f>IF(AND(AW47=0,SPC!AG37&lt;SPC!AF37),AV49+1,0)</f>
        <v>1</v>
      </c>
      <c r="AX49" s="164">
        <f>IF(AND(AX47=0,SPC!AH37&lt;SPC!AG37),AW49+1,0)</f>
        <v>0</v>
      </c>
      <c r="AY49" s="164">
        <f>IF(AND(AY47=0,SPC!AI37&lt;SPC!AH37),AX49+1,0)</f>
        <v>1</v>
      </c>
      <c r="AZ49" s="164">
        <f>IF(AND(AZ47=0,SPC!AJ37&lt;SPC!AI37),AY49+1,0)</f>
        <v>0</v>
      </c>
      <c r="BA49" s="164">
        <f>IF(AND(BA47=0,SPC!AK37&lt;SPC!AJ37),AZ49+1,0)</f>
        <v>1</v>
      </c>
      <c r="BB49" s="164">
        <f>IF(AND(BB47=0,SPC!AL37&lt;SPC!AK37),BA49+1,0)</f>
        <v>0</v>
      </c>
      <c r="BC49" s="164">
        <f>IF(AND(BC47=0,SPC!AM37&lt;SPC!AL37),BB49+1,0)</f>
        <v>1</v>
      </c>
      <c r="BD49" s="164">
        <f>IF(AND(BD47=0,SPC!AN37&lt;SPC!AM37),BC49+1,0)</f>
        <v>0</v>
      </c>
      <c r="BE49" s="164">
        <f>IF(AND(BE47=0,SPC!AO37&lt;SPC!AN37),BD49+1,0)</f>
        <v>1</v>
      </c>
      <c r="BF49" s="164">
        <f>IF(AND(BF47=0,SPC!AP37&lt;SPC!AO37),BE49+1,0)</f>
        <v>0</v>
      </c>
      <c r="BG49" s="164">
        <f>IF(AND(BG47=0,SPC!AQ37&lt;SPC!AP37),BF49+1,0)</f>
        <v>1</v>
      </c>
      <c r="BH49" s="164">
        <f>IF(AND(BH47=0,SPC!AR37&lt;SPC!AQ37),BG49+1,0)</f>
        <v>0</v>
      </c>
      <c r="BI49" s="164">
        <f>IF(AND(BI47=0,SPC!AS37&lt;SPC!AR37),BH49+1,0)</f>
        <v>1</v>
      </c>
      <c r="BJ49" s="164">
        <f>IF(AND(BJ47=0,SPC!AT37&lt;SPC!AS37),BI49+1,0)</f>
        <v>0</v>
      </c>
      <c r="BK49" s="164">
        <f>IF(AND(BK47=0,SPC!AU37&lt;SPC!AT37),BJ49+1,0)</f>
        <v>1</v>
      </c>
      <c r="BL49" s="164">
        <f>IF(AND(BL47=0,SPC!AV37&lt;SPC!AU37),BK49+1,0)</f>
        <v>0</v>
      </c>
      <c r="BM49" s="164">
        <f>IF(AND(BM47=0,SPC!AW37&lt;SPC!AV37),BL49+1,0)</f>
        <v>1</v>
      </c>
      <c r="BN49" s="164">
        <f>IF(AND(BN47=0,SPC!AX37&lt;SPC!AW37),BM49+1,0)</f>
        <v>0</v>
      </c>
      <c r="BO49" s="164">
        <f>IF(AND(BO47=0,SPC!AY37&lt;SPC!AX37),BN49+1,0)</f>
        <v>1</v>
      </c>
      <c r="BP49" s="164">
        <f>IF(AND(BP47=0,SPC!AZ37&lt;SPC!AY37),BO49+1,0)</f>
        <v>0</v>
      </c>
      <c r="BQ49" s="164">
        <f>IF(AND(BQ47=0,P42&lt;SPC!AZ37),BP49+1,0)</f>
        <v>1</v>
      </c>
      <c r="BR49" s="164"/>
      <c r="BS49" s="164"/>
      <c r="BT49" s="88"/>
      <c r="BU49" s="88"/>
      <c r="BV49" s="143"/>
      <c r="BW49" s="12"/>
    </row>
    <row r="50" spans="1:75" ht="15.6" x14ac:dyDescent="0.3">
      <c r="A50" s="140">
        <f t="shared" si="1"/>
        <v>49</v>
      </c>
      <c r="B50" s="7">
        <f>SPC!AZ$37</f>
        <v>17.232445480875615</v>
      </c>
      <c r="C50" s="3">
        <f t="shared" si="2"/>
        <v>0.65351435382403833</v>
      </c>
      <c r="D50" s="4">
        <f t="shared" si="3"/>
        <v>0.54</v>
      </c>
      <c r="E50" s="3">
        <f t="shared" si="0"/>
        <v>0.74328763059357206</v>
      </c>
      <c r="F50" s="3">
        <f t="shared" si="4"/>
        <v>74.3287630593572</v>
      </c>
      <c r="G50" s="142"/>
      <c r="H50" s="142"/>
      <c r="I50" s="142"/>
      <c r="J50" s="142"/>
      <c r="K50" s="142"/>
      <c r="L50" s="5"/>
      <c r="M50" s="149"/>
      <c r="P50" s="68"/>
      <c r="Q50" s="179"/>
      <c r="R50" s="88"/>
      <c r="S50" s="164" t="s">
        <v>69</v>
      </c>
      <c r="T50" s="88"/>
      <c r="U50" s="88">
        <f>MAX(U48:BQ48)+1</f>
        <v>2</v>
      </c>
      <c r="V50" s="163" t="s">
        <v>193</v>
      </c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26"/>
      <c r="AS50" s="26"/>
      <c r="AT50" s="26"/>
      <c r="AU50" s="163"/>
      <c r="AV50" s="76"/>
      <c r="AW50" s="88"/>
      <c r="AX50" s="88"/>
      <c r="AY50" s="88"/>
      <c r="AZ50" s="20"/>
      <c r="BA50" s="26"/>
      <c r="BB50" s="26"/>
      <c r="BC50" s="26"/>
      <c r="BD50" s="26"/>
      <c r="BE50" s="26"/>
      <c r="BF50" s="26"/>
      <c r="BG50" s="26"/>
      <c r="BH50" s="20"/>
      <c r="BI50" s="20"/>
      <c r="BJ50" s="20"/>
      <c r="BK50" s="20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143"/>
      <c r="BW50" s="12"/>
    </row>
    <row r="51" spans="1:75" ht="15.6" x14ac:dyDescent="0.3">
      <c r="A51" s="140">
        <f t="shared" si="1"/>
        <v>50</v>
      </c>
      <c r="B51" s="7">
        <f>Formule!P$42</f>
        <v>0</v>
      </c>
      <c r="C51" s="3">
        <f t="shared" si="2"/>
        <v>-2976.096684440527</v>
      </c>
      <c r="D51" s="4">
        <f t="shared" si="3"/>
        <v>0.02</v>
      </c>
      <c r="E51" s="3">
        <f t="shared" si="0"/>
        <v>0</v>
      </c>
      <c r="F51" s="3">
        <f t="shared" si="4"/>
        <v>0</v>
      </c>
      <c r="G51" s="142"/>
      <c r="H51" s="142"/>
      <c r="I51" s="142"/>
      <c r="J51" s="142"/>
      <c r="K51" s="142"/>
      <c r="L51" s="5"/>
      <c r="M51" s="149"/>
      <c r="P51" s="68"/>
      <c r="Q51" s="179"/>
      <c r="R51" s="88"/>
      <c r="S51" s="164" t="s">
        <v>70</v>
      </c>
      <c r="T51" s="88"/>
      <c r="U51" s="88">
        <f>MAX(U49:BQ49)+1</f>
        <v>3</v>
      </c>
      <c r="V51" s="163" t="s">
        <v>194</v>
      </c>
      <c r="W51" s="88"/>
      <c r="X51" s="180"/>
      <c r="Y51" s="88"/>
      <c r="Z51" s="88"/>
      <c r="AA51" s="88"/>
      <c r="AB51" s="88"/>
      <c r="AC51" s="180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76"/>
      <c r="AW51" s="88"/>
      <c r="AX51" s="88"/>
      <c r="AY51" s="88"/>
      <c r="AZ51" s="20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143"/>
      <c r="BW51" s="12"/>
    </row>
    <row r="52" spans="1:75" x14ac:dyDescent="0.25">
      <c r="A52" s="140"/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5"/>
      <c r="M52" s="149"/>
      <c r="P52" s="68"/>
      <c r="Q52" s="168"/>
      <c r="R52" s="88"/>
      <c r="S52" s="164" t="s">
        <v>71</v>
      </c>
      <c r="T52" s="88"/>
      <c r="U52" s="164">
        <f ca="1">COUNTIF($U$48:$BQ$48,"="&amp;INDIRECT(V50)-1)</f>
        <v>25</v>
      </c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163"/>
      <c r="AV52" s="76"/>
      <c r="AW52" s="88"/>
      <c r="AX52" s="88"/>
      <c r="AY52" s="88"/>
      <c r="AZ52" s="20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143"/>
      <c r="BW52" s="12"/>
    </row>
    <row r="53" spans="1:75" x14ac:dyDescent="0.25">
      <c r="A53" s="140"/>
      <c r="B53" s="141"/>
      <c r="C53" s="142"/>
      <c r="D53" s="142"/>
      <c r="E53" s="142"/>
      <c r="F53" s="142"/>
      <c r="G53" s="142"/>
      <c r="H53" s="142"/>
      <c r="I53" s="142"/>
      <c r="J53" s="142"/>
      <c r="K53" s="142"/>
      <c r="L53" s="5"/>
      <c r="M53" s="149"/>
      <c r="P53" s="68"/>
      <c r="Q53" s="168"/>
      <c r="R53" s="88"/>
      <c r="S53" s="164" t="s">
        <v>72</v>
      </c>
      <c r="T53" s="88"/>
      <c r="U53" s="164">
        <f ca="1">COUNTIF($U$49:$BQ$49,"="&amp;INDIRECT(V51)-1)</f>
        <v>0</v>
      </c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20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143"/>
      <c r="BW53" s="12"/>
    </row>
    <row r="54" spans="1:75" x14ac:dyDescent="0.25">
      <c r="A54" s="140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5"/>
      <c r="M54" s="149"/>
      <c r="P54" s="68"/>
      <c r="Q54" s="168"/>
      <c r="R54" s="88"/>
      <c r="S54" s="164" t="s">
        <v>73</v>
      </c>
      <c r="T54" s="88"/>
      <c r="U54" s="164">
        <f>IF(SPC!D38&gt;SPC!C38,1,0)</f>
        <v>0</v>
      </c>
      <c r="V54" s="164">
        <f>IF(SPC!E38&gt;SPC!D38,1,0)</f>
        <v>0</v>
      </c>
      <c r="W54" s="164">
        <f>IF(SPC!F38&gt;SPC!E38,1,0)</f>
        <v>1</v>
      </c>
      <c r="X54" s="164">
        <f>IF(SPC!G38&gt;SPC!F38,1,0)</f>
        <v>1</v>
      </c>
      <c r="Y54" s="164">
        <f>IF(SPC!H38&gt;SPC!G38,1,0)</f>
        <v>0</v>
      </c>
      <c r="Z54" s="164">
        <f>IF(SPC!I38&gt;SPC!H38,1,0)</f>
        <v>0</v>
      </c>
      <c r="AA54" s="164">
        <f>IF(SPC!J38&gt;SPC!I38,1,0)</f>
        <v>1</v>
      </c>
      <c r="AB54" s="164">
        <f>IF(SPC!K38&gt;SPC!J38,1,0)</f>
        <v>1</v>
      </c>
      <c r="AC54" s="164">
        <f>IF(SPC!L38&gt;SPC!K38,1,0)</f>
        <v>0</v>
      </c>
      <c r="AD54" s="164">
        <f>IF(SPC!M38&gt;SPC!L38,1,0)</f>
        <v>0</v>
      </c>
      <c r="AE54" s="164">
        <f>IF(SPC!N38&gt;SPC!M38,1,0)</f>
        <v>1</v>
      </c>
      <c r="AF54" s="164">
        <f>IF(SPC!O38&gt;SPC!N38,1,0)</f>
        <v>1</v>
      </c>
      <c r="AG54" s="164">
        <f>IF(SPC!P38&gt;SPC!O38,1,0)</f>
        <v>0</v>
      </c>
      <c r="AH54" s="164">
        <f>IF(SPC!Q38&gt;SPC!P38,1,0)</f>
        <v>0</v>
      </c>
      <c r="AI54" s="164">
        <f>IF(SPC!R38&gt;SPC!Q38,1,0)</f>
        <v>1</v>
      </c>
      <c r="AJ54" s="164">
        <f>IF(SPC!S38&gt;SPC!R38,1,0)</f>
        <v>1</v>
      </c>
      <c r="AK54" s="164">
        <f>IF(SPC!T38&gt;SPC!S38,1,0)</f>
        <v>0</v>
      </c>
      <c r="AL54" s="164">
        <f>IF(SPC!U38&gt;SPC!T38,1,0)</f>
        <v>0</v>
      </c>
      <c r="AM54" s="164">
        <f>IF(SPC!V38&gt;SPC!U38,1,0)</f>
        <v>1</v>
      </c>
      <c r="AN54" s="164">
        <f>IF(SPC!W38&gt;SPC!V38,1,0)</f>
        <v>1</v>
      </c>
      <c r="AO54" s="164">
        <f>IF(SPC!X38&gt;SPC!W38,1,0)</f>
        <v>0</v>
      </c>
      <c r="AP54" s="164">
        <f>IF(SPC!Y38&gt;SPC!X38,1,0)</f>
        <v>0</v>
      </c>
      <c r="AQ54" s="164">
        <f>IF(SPC!Z38&gt;SPC!Y38,1,0)</f>
        <v>1</v>
      </c>
      <c r="AR54" s="164">
        <f>IF(SPC!AA38&gt;SPC!Z38,1,0)</f>
        <v>1</v>
      </c>
      <c r="AS54" s="164">
        <f>IF(SPC!AC38&gt;SPC!AA38,1,0)</f>
        <v>0</v>
      </c>
      <c r="AT54" s="164">
        <f>IF(SPC!AD38&gt;SPC!AC38,1,0)</f>
        <v>1</v>
      </c>
      <c r="AU54" s="164">
        <f>IF(SPC!AE38&gt;SPC!AD38,1,0)</f>
        <v>1</v>
      </c>
      <c r="AV54" s="164">
        <f>IF(SPC!AF38&gt;SPC!AE38,1,0)</f>
        <v>0</v>
      </c>
      <c r="AW54" s="164">
        <f>IF(SPC!AG38&gt;SPC!AF38,1,0)</f>
        <v>0</v>
      </c>
      <c r="AX54" s="164">
        <f>IF(SPC!AH38&gt;SPC!AG38,1,0)</f>
        <v>1</v>
      </c>
      <c r="AY54" s="164">
        <f>IF(SPC!AI38&gt;SPC!AH38,1,0)</f>
        <v>1</v>
      </c>
      <c r="AZ54" s="164">
        <f>IF(SPC!AJ38&gt;SPC!AI38,1,0)</f>
        <v>0</v>
      </c>
      <c r="BA54" s="164">
        <f>IF(SPC!AK38&gt;SPC!AJ38,1,0)</f>
        <v>0</v>
      </c>
      <c r="BB54" s="164">
        <f>IF(SPC!AL38&gt;SPC!AK38,1,0)</f>
        <v>1</v>
      </c>
      <c r="BC54" s="164">
        <f>IF(SPC!AM38&gt;SPC!AL38,1,0)</f>
        <v>1</v>
      </c>
      <c r="BD54" s="164">
        <f>IF(SPC!AN38&gt;SPC!AM38,1,0)</f>
        <v>0</v>
      </c>
      <c r="BE54" s="164">
        <f>IF(SPC!AO38&gt;SPC!AN38,1,0)</f>
        <v>0</v>
      </c>
      <c r="BF54" s="164">
        <f>IF(SPC!AP38&gt;SPC!AO38,1,0)</f>
        <v>1</v>
      </c>
      <c r="BG54" s="164">
        <f>IF(SPC!AQ38&gt;SPC!AP38,1,0)</f>
        <v>1</v>
      </c>
      <c r="BH54" s="164">
        <f>IF(SPC!AR38&gt;SPC!AQ38,1,0)</f>
        <v>0</v>
      </c>
      <c r="BI54" s="164">
        <f>IF(SPC!AS38&gt;SPC!AR38,1,0)</f>
        <v>0</v>
      </c>
      <c r="BJ54" s="164">
        <f>IF(SPC!AT38&gt;SPC!AS38,1,0)</f>
        <v>1</v>
      </c>
      <c r="BK54" s="164">
        <f>IF(SPC!AU38&gt;SPC!AT38,1,0)</f>
        <v>1</v>
      </c>
      <c r="BL54" s="164">
        <f>IF(SPC!AV38&gt;SPC!AU38,1,0)</f>
        <v>0</v>
      </c>
      <c r="BM54" s="164">
        <f>IF(SPC!AW38&gt;SPC!AV38,1,0)</f>
        <v>0</v>
      </c>
      <c r="BN54" s="164">
        <f>IF(SPC!AX38&gt;SPC!AW38,1,0)</f>
        <v>1</v>
      </c>
      <c r="BO54" s="164">
        <f>IF(SPC!AY38&gt;SPC!AX38,1,0)</f>
        <v>1</v>
      </c>
      <c r="BP54" s="164">
        <f>IF(SPC!AZ38&gt;SPC!AY38,1,0)</f>
        <v>0</v>
      </c>
      <c r="BQ54" s="164">
        <f>IF(P43&gt;SPC!AZ38,1,0)</f>
        <v>0</v>
      </c>
      <c r="BR54" s="88"/>
      <c r="BS54" s="88"/>
      <c r="BT54" s="88"/>
      <c r="BU54" s="88"/>
      <c r="BV54" s="143"/>
      <c r="BW54" s="12"/>
    </row>
    <row r="55" spans="1:75" x14ac:dyDescent="0.25">
      <c r="A55" s="140"/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5"/>
      <c r="M55" s="149"/>
      <c r="P55" s="68"/>
      <c r="Q55" s="168"/>
      <c r="R55" s="88"/>
      <c r="S55" s="164" t="s">
        <v>74</v>
      </c>
      <c r="T55" s="88"/>
      <c r="U55" s="164">
        <f>IF(U54=1,T55+U54,0)</f>
        <v>0</v>
      </c>
      <c r="V55" s="164">
        <f>IF(AND(V54=1,SPC!E38&gt;SPC!D38),U55+V54,0)</f>
        <v>0</v>
      </c>
      <c r="W55" s="164">
        <f>IF(AND(W54=1,SPC!F38&gt;SPC!E38),V55+W54,0)</f>
        <v>1</v>
      </c>
      <c r="X55" s="164">
        <f>IF(AND(X54=1,SPC!G38&gt;SPC!F38),W55+X54,0)</f>
        <v>2</v>
      </c>
      <c r="Y55" s="164">
        <f>IF(AND(Y54=1,SPC!H38&gt;SPC!G38),X55+Y54,0)</f>
        <v>0</v>
      </c>
      <c r="Z55" s="164">
        <f>IF(AND(Z54=1,SPC!I38&gt;SPC!H38),Y55+Z54,0)</f>
        <v>0</v>
      </c>
      <c r="AA55" s="164">
        <f>IF(AND(AA54=1,SPC!J38&gt;SPC!I38),Z55+AA54,0)</f>
        <v>1</v>
      </c>
      <c r="AB55" s="164">
        <f>IF(AND(AB54=1,SPC!K38&gt;SPC!J38),AA55+AB54,0)</f>
        <v>2</v>
      </c>
      <c r="AC55" s="164">
        <f>IF(AND(AC54=1,SPC!L38&gt;SPC!K38),AB55+AC54,0)</f>
        <v>0</v>
      </c>
      <c r="AD55" s="164">
        <f>IF(AND(AD54=1,SPC!M38&gt;SPC!L38),AC55+AD54,0)</f>
        <v>0</v>
      </c>
      <c r="AE55" s="164">
        <f>IF(AND(AE54=1,SPC!N38&gt;SPC!M38),AD55+AE54,0)</f>
        <v>1</v>
      </c>
      <c r="AF55" s="164">
        <f>IF(AND(AF54=1,SPC!O38&gt;SPC!N38),AE55+AF54,0)</f>
        <v>2</v>
      </c>
      <c r="AG55" s="164">
        <f>IF(AND(AG54=1,SPC!P38&gt;SPC!O38),AF55+AG54,0)</f>
        <v>0</v>
      </c>
      <c r="AH55" s="164">
        <f>IF(AND(AH54=1,SPC!Q38&gt;SPC!P38),AG55+AH54,0)</f>
        <v>0</v>
      </c>
      <c r="AI55" s="164">
        <f>IF(AND(AI54=1,SPC!R38&gt;SPC!Q38),AH55+AI54,0)</f>
        <v>1</v>
      </c>
      <c r="AJ55" s="164">
        <f>IF(AND(AJ54=1,SPC!S38&gt;SPC!R38),AI55+AJ54,0)</f>
        <v>2</v>
      </c>
      <c r="AK55" s="164">
        <f>IF(AND(AK54=1,SPC!T38&gt;SPC!S38),AJ55+AK54,0)</f>
        <v>0</v>
      </c>
      <c r="AL55" s="164">
        <f>IF(AND(AL54=1,SPC!U38&gt;SPC!T38),AK55+AL54,0)</f>
        <v>0</v>
      </c>
      <c r="AM55" s="164">
        <f>IF(AND(AM54=1,SPC!V38&gt;SPC!U38),AL55+AM54,0)</f>
        <v>1</v>
      </c>
      <c r="AN55" s="164">
        <f>IF(AND(AN54=1,SPC!W38&gt;SPC!V38),AM55+AN54,0)</f>
        <v>2</v>
      </c>
      <c r="AO55" s="164">
        <f>IF(AND(AO54=1,SPC!X38&gt;SPC!W38),AN55+AO54,0)</f>
        <v>0</v>
      </c>
      <c r="AP55" s="164">
        <f>IF(AND(AP54=1,SPC!Y38&gt;SPC!X38),AO55+AP54,0)</f>
        <v>0</v>
      </c>
      <c r="AQ55" s="164">
        <f>IF(AND(AQ54=1,SPC!Z38&gt;SPC!Y38),AP55+AQ54,0)</f>
        <v>1</v>
      </c>
      <c r="AR55" s="164">
        <f>IF(AND(AR54=1,SPC!AA38&gt;SPC!Z38),AQ55+AR54,0)</f>
        <v>2</v>
      </c>
      <c r="AS55" s="164">
        <f>IF(AND(AS54=1,SPC!AC38&gt;SPC!AA38),AR55+AS54,0)</f>
        <v>0</v>
      </c>
      <c r="AT55" s="164">
        <f>IF(AND(AT54=1,SPC!AD38&gt;SPC!AC38),AS55+AT54,0)</f>
        <v>1</v>
      </c>
      <c r="AU55" s="164">
        <f>IF(AND(AU54=1,SPC!AE38&gt;SPC!AD38),AT55+AU54,0)</f>
        <v>2</v>
      </c>
      <c r="AV55" s="164">
        <f>IF(AND(AV54=1,SPC!AF38&gt;SPC!AE38),AU55+AV54,0)</f>
        <v>0</v>
      </c>
      <c r="AW55" s="164">
        <f>IF(AND(AW54=1,SPC!AG38&gt;SPC!AF38),AV55+AW54,0)</f>
        <v>0</v>
      </c>
      <c r="AX55" s="164">
        <f>IF(AND(AX54=1,SPC!AH38&gt;SPC!AG38),AW55+AX54,0)</f>
        <v>1</v>
      </c>
      <c r="AY55" s="164">
        <f>IF(AND(AY54=1,SPC!AI38&gt;SPC!AH38),AX55+AY54,0)</f>
        <v>2</v>
      </c>
      <c r="AZ55" s="164">
        <f>IF(AND(AZ54=1,SPC!AJ38&gt;SPC!AI38),AY55+AZ54,0)</f>
        <v>0</v>
      </c>
      <c r="BA55" s="164">
        <f>IF(AND(BA54=1,SPC!AK38&gt;SPC!AJ38),AZ55+BA54,0)</f>
        <v>0</v>
      </c>
      <c r="BB55" s="164">
        <f>IF(AND(BB54=1,SPC!AL38&gt;SPC!AK38),BA55+BB54,0)</f>
        <v>1</v>
      </c>
      <c r="BC55" s="164">
        <f>IF(AND(BC54=1,SPC!AM38&gt;SPC!AL38),BB55+BC54,0)</f>
        <v>2</v>
      </c>
      <c r="BD55" s="164">
        <f>IF(AND(BD54=1,SPC!AN38&gt;SPC!AM38),BC55+BD54,0)</f>
        <v>0</v>
      </c>
      <c r="BE55" s="164">
        <f>IF(AND(BE54=1,SPC!AO38&gt;SPC!AN38),BD55+BE54,0)</f>
        <v>0</v>
      </c>
      <c r="BF55" s="164">
        <f>IF(AND(BF54=1,SPC!AP38&gt;SPC!AO38),BE55+BF54,0)</f>
        <v>1</v>
      </c>
      <c r="BG55" s="164">
        <f>IF(AND(BG54=1,SPC!AQ38&gt;SPC!AP38),BF55+BG54,0)</f>
        <v>2</v>
      </c>
      <c r="BH55" s="164">
        <f>IF(AND(BH54=1,SPC!AR38&gt;SPC!AQ38),BG55+BH54,0)</f>
        <v>0</v>
      </c>
      <c r="BI55" s="164">
        <f>IF(AND(BI54=1,SPC!AS38&gt;SPC!AR38),BH55+BI54,0)</f>
        <v>0</v>
      </c>
      <c r="BJ55" s="164">
        <f>IF(AND(BJ54=1,SPC!AT38&gt;SPC!AS38),BI55+BJ54,0)</f>
        <v>1</v>
      </c>
      <c r="BK55" s="164">
        <f>IF(AND(BK54=1,SPC!AU38&gt;SPC!AT38),BJ55+BK54,0)</f>
        <v>2</v>
      </c>
      <c r="BL55" s="164">
        <f>IF(AND(BL54=1,SPC!AV38&gt;SPC!AU38),BK55+BL54,0)</f>
        <v>0</v>
      </c>
      <c r="BM55" s="164">
        <f>IF(AND(BM54=1,SPC!AW38&gt;SPC!AV38),BL55+BM54,0)</f>
        <v>0</v>
      </c>
      <c r="BN55" s="164">
        <f>IF(AND(BN54=1,SPC!AX38&gt;SPC!AW38),BM55+BN54,0)</f>
        <v>1</v>
      </c>
      <c r="BO55" s="164">
        <f>IF(AND(BO54=1,SPC!AY38&gt;SPC!AX38),BN55+BO54,0)</f>
        <v>2</v>
      </c>
      <c r="BP55" s="164">
        <f>IF(AND(BP54=1,SPC!AZ38&gt;SPC!AY38),BO55+BP54,0)</f>
        <v>0</v>
      </c>
      <c r="BQ55" s="164">
        <f>IF(AND(BQ54=1,P43&gt;SPC!AZ38),BP55+BQ54,0)</f>
        <v>0</v>
      </c>
      <c r="BR55" s="88"/>
      <c r="BS55" s="88"/>
      <c r="BT55" s="88"/>
      <c r="BU55" s="88"/>
      <c r="BV55" s="143"/>
      <c r="BW55" s="12"/>
    </row>
    <row r="56" spans="1:75" x14ac:dyDescent="0.25">
      <c r="A56" s="140"/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5"/>
      <c r="M56" s="149"/>
      <c r="P56" s="68"/>
      <c r="Q56" s="168"/>
      <c r="R56" s="88"/>
      <c r="S56" s="164" t="s">
        <v>75</v>
      </c>
      <c r="T56" s="88"/>
      <c r="U56" s="164">
        <f>IF(U54=0,T56+1,0)</f>
        <v>1</v>
      </c>
      <c r="V56" s="164">
        <f>IF(AND(V54=0,SPC!E38&lt;SPC!D38),U56+1,0)</f>
        <v>2</v>
      </c>
      <c r="W56" s="164">
        <f>IF(AND(W54=0,SPC!F38&lt;SPC!E38),V56+1,0)</f>
        <v>0</v>
      </c>
      <c r="X56" s="164">
        <f>IF(AND(X54=0,SPC!G38&lt;SPC!F38),W56+1,0)</f>
        <v>0</v>
      </c>
      <c r="Y56" s="164">
        <f>IF(AND(Y54=0,SPC!H38&lt;SPC!G38),X56+1,0)</f>
        <v>1</v>
      </c>
      <c r="Z56" s="164">
        <f>IF(AND(Z54=0,SPC!I38&lt;SPC!H38),Y56+1,0)</f>
        <v>2</v>
      </c>
      <c r="AA56" s="164">
        <f>IF(AND(AA54=0,SPC!J38&lt;SPC!I38),Z56+1,0)</f>
        <v>0</v>
      </c>
      <c r="AB56" s="164">
        <f>IF(AND(AB54=0,SPC!K38&lt;SPC!J38),AA56+1,0)</f>
        <v>0</v>
      </c>
      <c r="AC56" s="164">
        <f>IF(AND(AC54=0,SPC!L38&lt;SPC!K38),AB56+1,0)</f>
        <v>1</v>
      </c>
      <c r="AD56" s="164">
        <f>IF(AND(AD54=0,SPC!M38&lt;SPC!L38),AC56+1,0)</f>
        <v>2</v>
      </c>
      <c r="AE56" s="164">
        <f>IF(AND(AE54=0,SPC!N38&lt;SPC!M38),AD56+1,0)</f>
        <v>0</v>
      </c>
      <c r="AF56" s="164">
        <f>IF(AND(AF54=0,SPC!O38&lt;SPC!N38),AE56+1,0)</f>
        <v>0</v>
      </c>
      <c r="AG56" s="164">
        <f>IF(AND(AG54=0,SPC!P38&lt;SPC!O38),AF56+1,0)</f>
        <v>1</v>
      </c>
      <c r="AH56" s="164">
        <f>IF(AND(AH54=0,SPC!Q38&lt;SPC!P38),AG56+1,0)</f>
        <v>2</v>
      </c>
      <c r="AI56" s="164">
        <f>IF(AND(AI54=0,SPC!R38&lt;SPC!Q38),AH56+1,0)</f>
        <v>0</v>
      </c>
      <c r="AJ56" s="164">
        <f>IF(AND(AJ54=0,SPC!S38&lt;SPC!R38),AI56+1,0)</f>
        <v>0</v>
      </c>
      <c r="AK56" s="164">
        <f>IF(AND(AK54=0,SPC!T38&lt;SPC!S38),AJ56+1,0)</f>
        <v>1</v>
      </c>
      <c r="AL56" s="164">
        <f>IF(AND(AL54=0,SPC!U38&lt;SPC!T38),AK56+1,0)</f>
        <v>2</v>
      </c>
      <c r="AM56" s="164">
        <f>IF(AND(AM54=0,SPC!V38&lt;SPC!U38),AL56+1,0)</f>
        <v>0</v>
      </c>
      <c r="AN56" s="164">
        <f>IF(AND(AN54=0,SPC!W38&lt;SPC!V38),AM56+1,0)</f>
        <v>0</v>
      </c>
      <c r="AO56" s="164">
        <f>IF(AND(AO54=0,SPC!X38&lt;SPC!W38),AN56+1,0)</f>
        <v>1</v>
      </c>
      <c r="AP56" s="164">
        <f>IF(AND(AP54=0,SPC!Y38&lt;SPC!X38),AO56+1,0)</f>
        <v>2</v>
      </c>
      <c r="AQ56" s="164">
        <f>IF(AND(AQ54=0,SPC!Z38&lt;SPC!Y38),AP56+1,0)</f>
        <v>0</v>
      </c>
      <c r="AR56" s="164">
        <f>IF(AND(AR54=0,SPC!AA38&lt;SPC!Z38),AQ56+1,0)</f>
        <v>0</v>
      </c>
      <c r="AS56" s="164">
        <f>IF(AND(AS54=0,SPC!AC38&lt;SPC!AA38),AR56+1,0)</f>
        <v>1</v>
      </c>
      <c r="AT56" s="164">
        <f>IF(AND(AT54=0,SPC!AD38&lt;SPC!AC38),AS56+1,0)</f>
        <v>0</v>
      </c>
      <c r="AU56" s="164">
        <f>IF(AND(AU54=0,SPC!AE38&lt;SPC!AD38),AT56+1,0)</f>
        <v>0</v>
      </c>
      <c r="AV56" s="164">
        <f>IF(AND(AV54=0,SPC!AF38&lt;SPC!AE38),AU56+1,0)</f>
        <v>1</v>
      </c>
      <c r="AW56" s="164">
        <f>IF(AND(AW54=0,SPC!AG38&lt;SPC!AF38),AV56+1,0)</f>
        <v>2</v>
      </c>
      <c r="AX56" s="164">
        <f>IF(AND(AX54=0,SPC!AH38&lt;SPC!AG38),AW56+1,0)</f>
        <v>0</v>
      </c>
      <c r="AY56" s="164">
        <f>IF(AND(AY54=0,SPC!AI38&lt;SPC!AH38),AX56+1,0)</f>
        <v>0</v>
      </c>
      <c r="AZ56" s="164">
        <f>IF(AND(AZ54=0,SPC!AJ38&lt;SPC!AI38),AY56+1,0)</f>
        <v>1</v>
      </c>
      <c r="BA56" s="164">
        <f>IF(AND(BA54=0,SPC!AK38&lt;SPC!AJ38),AZ56+1,0)</f>
        <v>2</v>
      </c>
      <c r="BB56" s="164">
        <f>IF(AND(BB54=0,SPC!AL38&lt;SPC!AK38),BA56+1,0)</f>
        <v>0</v>
      </c>
      <c r="BC56" s="164">
        <f>IF(AND(BC54=0,SPC!AM38&lt;SPC!AL38),BB56+1,0)</f>
        <v>0</v>
      </c>
      <c r="BD56" s="164">
        <f>IF(AND(BD54=0,SPC!AN38&lt;SPC!AM38),BC56+1,0)</f>
        <v>1</v>
      </c>
      <c r="BE56" s="164">
        <f>IF(AND(BE54=0,SPC!AO38&lt;SPC!AN38),BD56+1,0)</f>
        <v>2</v>
      </c>
      <c r="BF56" s="164">
        <f>IF(AND(BF54=0,SPC!AP38&lt;SPC!AO38),BE56+1,0)</f>
        <v>0</v>
      </c>
      <c r="BG56" s="164">
        <f>IF(AND(BG54=0,SPC!AQ38&lt;SPC!AP38),BF56+1,0)</f>
        <v>0</v>
      </c>
      <c r="BH56" s="164">
        <f>IF(AND(BH54=0,SPC!AR38&lt;SPC!AQ38),BG56+1,0)</f>
        <v>1</v>
      </c>
      <c r="BI56" s="164">
        <f>IF(AND(BI54=0,SPC!AS38&lt;SPC!AR38),BH56+1,0)</f>
        <v>2</v>
      </c>
      <c r="BJ56" s="164">
        <f>IF(AND(BJ54=0,SPC!AT38&lt;SPC!AS38),BI56+1,0)</f>
        <v>0</v>
      </c>
      <c r="BK56" s="164">
        <f>IF(AND(BK54=0,SPC!AU38&lt;SPC!AT38),BJ56+1,0)</f>
        <v>0</v>
      </c>
      <c r="BL56" s="164">
        <f>IF(AND(BL54=0,SPC!AV38&lt;SPC!AU38),BK56+1,0)</f>
        <v>1</v>
      </c>
      <c r="BM56" s="164">
        <f>IF(AND(BM54=0,SPC!AW38&lt;SPC!AV38),BL56+1,0)</f>
        <v>2</v>
      </c>
      <c r="BN56" s="164">
        <f>IF(AND(BN54=0,SPC!AX38&lt;SPC!AW38),BM56+1,0)</f>
        <v>0</v>
      </c>
      <c r="BO56" s="164">
        <f>IF(AND(BO54=0,SPC!AY38&lt;SPC!AX38),BN56+1,0)</f>
        <v>0</v>
      </c>
      <c r="BP56" s="164">
        <f>IF(AND(BP54=0,SPC!AZ38&lt;SPC!AY38),BO56+1,0)</f>
        <v>1</v>
      </c>
      <c r="BQ56" s="164">
        <f>IF(AND(BQ54=0,P43&lt;SPC!AZ38),BP56+1,0)</f>
        <v>2</v>
      </c>
      <c r="BR56" s="88"/>
      <c r="BS56" s="88"/>
      <c r="BT56" s="88"/>
      <c r="BU56" s="88"/>
      <c r="BV56" s="143"/>
      <c r="BW56" s="12"/>
    </row>
    <row r="57" spans="1:75" x14ac:dyDescent="0.25">
      <c r="A57" s="140"/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5"/>
      <c r="M57" s="149"/>
      <c r="P57" s="68"/>
      <c r="Q57" s="168"/>
      <c r="R57" s="88"/>
      <c r="S57" s="164" t="s">
        <v>76</v>
      </c>
      <c r="T57" s="88"/>
      <c r="U57" s="164">
        <f>MAX(U55:BQ55)+1</f>
        <v>3</v>
      </c>
      <c r="V57" s="163" t="s">
        <v>195</v>
      </c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181"/>
      <c r="AV57" s="88"/>
      <c r="AW57" s="88"/>
      <c r="AX57" s="181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143"/>
      <c r="BW57" s="12"/>
    </row>
    <row r="58" spans="1:75" x14ac:dyDescent="0.25">
      <c r="A58" s="140"/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5"/>
      <c r="M58" s="149"/>
      <c r="P58" s="68"/>
      <c r="Q58" s="168"/>
      <c r="R58" s="88"/>
      <c r="S58" s="164" t="s">
        <v>77</v>
      </c>
      <c r="T58" s="88"/>
      <c r="U58" s="164">
        <f>MAX(U56:BQ56)+1</f>
        <v>3</v>
      </c>
      <c r="V58" s="163" t="s">
        <v>196</v>
      </c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182"/>
      <c r="AW58" s="77"/>
      <c r="AX58" s="88"/>
      <c r="AY58" s="163"/>
      <c r="AZ58" s="75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143"/>
      <c r="BW58" s="12"/>
    </row>
    <row r="59" spans="1:75" x14ac:dyDescent="0.25">
      <c r="A59" s="140"/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5"/>
      <c r="M59" s="149"/>
      <c r="P59" s="68"/>
      <c r="Q59" s="168"/>
      <c r="R59" s="88"/>
      <c r="S59" s="164" t="s">
        <v>78</v>
      </c>
      <c r="T59" s="88"/>
      <c r="U59" s="164">
        <f ca="1">COUNTIF($U$55:$BQ$55,"="&amp;INDIRECT(V57)-1)</f>
        <v>25</v>
      </c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163"/>
      <c r="AZ59" s="76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143"/>
      <c r="BW59" s="12"/>
    </row>
    <row r="60" spans="1:75" x14ac:dyDescent="0.25">
      <c r="A60" s="140"/>
      <c r="B60" s="141"/>
      <c r="C60" s="142"/>
      <c r="D60" s="142"/>
      <c r="E60" s="142"/>
      <c r="F60" s="142"/>
      <c r="G60" s="142"/>
      <c r="H60" s="142"/>
      <c r="I60" s="142"/>
      <c r="J60" s="142"/>
      <c r="K60" s="142"/>
      <c r="L60" s="5"/>
      <c r="M60" s="149"/>
      <c r="P60" s="68"/>
      <c r="Q60" s="168"/>
      <c r="R60" s="88"/>
      <c r="S60" s="164" t="s">
        <v>79</v>
      </c>
      <c r="T60" s="88"/>
      <c r="U60" s="164">
        <f ca="1">COUNTIF($U$56:$BQ$56,"="&amp;INDIRECT(V58)-1)</f>
        <v>0</v>
      </c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182"/>
      <c r="AW60" s="77"/>
      <c r="AX60" s="88"/>
      <c r="AY60" s="163"/>
      <c r="AZ60" s="76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143"/>
      <c r="BW60" s="12"/>
    </row>
    <row r="61" spans="1:75" ht="13.8" thickBot="1" x14ac:dyDescent="0.3">
      <c r="A61" s="150"/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3"/>
      <c r="M61" s="154"/>
      <c r="P61" s="68"/>
      <c r="Q61" s="168"/>
      <c r="R61" s="88"/>
      <c r="S61" s="164" t="s">
        <v>80</v>
      </c>
      <c r="T61" s="164">
        <v>1</v>
      </c>
      <c r="U61" s="88">
        <f t="shared" ref="U61:AZ61" si="21">1+T61</f>
        <v>2</v>
      </c>
      <c r="V61" s="88">
        <f t="shared" si="21"/>
        <v>3</v>
      </c>
      <c r="W61" s="88">
        <f t="shared" si="21"/>
        <v>4</v>
      </c>
      <c r="X61" s="88">
        <f t="shared" si="21"/>
        <v>5</v>
      </c>
      <c r="Y61" s="88">
        <f t="shared" si="21"/>
        <v>6</v>
      </c>
      <c r="Z61" s="88">
        <f t="shared" si="21"/>
        <v>7</v>
      </c>
      <c r="AA61" s="88">
        <f t="shared" si="21"/>
        <v>8</v>
      </c>
      <c r="AB61" s="88">
        <f t="shared" si="21"/>
        <v>9</v>
      </c>
      <c r="AC61" s="88">
        <f t="shared" si="21"/>
        <v>10</v>
      </c>
      <c r="AD61" s="88">
        <f t="shared" si="21"/>
        <v>11</v>
      </c>
      <c r="AE61" s="88">
        <f t="shared" si="21"/>
        <v>12</v>
      </c>
      <c r="AF61" s="88">
        <f t="shared" si="21"/>
        <v>13</v>
      </c>
      <c r="AG61" s="88">
        <f t="shared" si="21"/>
        <v>14</v>
      </c>
      <c r="AH61" s="88">
        <f t="shared" si="21"/>
        <v>15</v>
      </c>
      <c r="AI61" s="88">
        <f t="shared" si="21"/>
        <v>16</v>
      </c>
      <c r="AJ61" s="88">
        <f t="shared" si="21"/>
        <v>17</v>
      </c>
      <c r="AK61" s="88">
        <f t="shared" si="21"/>
        <v>18</v>
      </c>
      <c r="AL61" s="88">
        <f t="shared" si="21"/>
        <v>19</v>
      </c>
      <c r="AM61" s="88">
        <f t="shared" si="21"/>
        <v>20</v>
      </c>
      <c r="AN61" s="88">
        <f t="shared" si="21"/>
        <v>21</v>
      </c>
      <c r="AO61" s="88">
        <f t="shared" si="21"/>
        <v>22</v>
      </c>
      <c r="AP61" s="88">
        <f t="shared" si="21"/>
        <v>23</v>
      </c>
      <c r="AQ61" s="88">
        <f t="shared" si="21"/>
        <v>24</v>
      </c>
      <c r="AR61" s="88">
        <f t="shared" si="21"/>
        <v>25</v>
      </c>
      <c r="AS61" s="88">
        <f t="shared" si="21"/>
        <v>26</v>
      </c>
      <c r="AT61" s="88">
        <f t="shared" si="21"/>
        <v>27</v>
      </c>
      <c r="AU61" s="88">
        <f t="shared" si="21"/>
        <v>28</v>
      </c>
      <c r="AV61" s="88">
        <f t="shared" si="21"/>
        <v>29</v>
      </c>
      <c r="AW61" s="88">
        <f t="shared" si="21"/>
        <v>30</v>
      </c>
      <c r="AX61" s="88">
        <f t="shared" si="21"/>
        <v>31</v>
      </c>
      <c r="AY61" s="88">
        <f t="shared" si="21"/>
        <v>32</v>
      </c>
      <c r="AZ61" s="88">
        <f t="shared" si="21"/>
        <v>33</v>
      </c>
      <c r="BA61" s="88">
        <f t="shared" ref="BA61:BQ61" si="22">1+AZ61</f>
        <v>34</v>
      </c>
      <c r="BB61" s="88">
        <f t="shared" si="22"/>
        <v>35</v>
      </c>
      <c r="BC61" s="88">
        <f t="shared" si="22"/>
        <v>36</v>
      </c>
      <c r="BD61" s="88">
        <f t="shared" si="22"/>
        <v>37</v>
      </c>
      <c r="BE61" s="88">
        <f t="shared" si="22"/>
        <v>38</v>
      </c>
      <c r="BF61" s="88">
        <f t="shared" si="22"/>
        <v>39</v>
      </c>
      <c r="BG61" s="88">
        <f t="shared" si="22"/>
        <v>40</v>
      </c>
      <c r="BH61" s="88">
        <f t="shared" si="22"/>
        <v>41</v>
      </c>
      <c r="BI61" s="88">
        <f t="shared" si="22"/>
        <v>42</v>
      </c>
      <c r="BJ61" s="88">
        <f t="shared" si="22"/>
        <v>43</v>
      </c>
      <c r="BK61" s="88">
        <f t="shared" si="22"/>
        <v>44</v>
      </c>
      <c r="BL61" s="88">
        <f t="shared" si="22"/>
        <v>45</v>
      </c>
      <c r="BM61" s="88">
        <f t="shared" si="22"/>
        <v>46</v>
      </c>
      <c r="BN61" s="88">
        <f t="shared" si="22"/>
        <v>47</v>
      </c>
      <c r="BO61" s="88">
        <f t="shared" si="22"/>
        <v>48</v>
      </c>
      <c r="BP61" s="88">
        <f t="shared" si="22"/>
        <v>49</v>
      </c>
      <c r="BQ61" s="88">
        <f t="shared" si="22"/>
        <v>50</v>
      </c>
      <c r="BR61" s="88"/>
      <c r="BS61" s="88"/>
      <c r="BT61" s="88"/>
      <c r="BU61" s="88"/>
      <c r="BV61" s="143"/>
      <c r="BW61" s="12"/>
    </row>
    <row r="62" spans="1:75" x14ac:dyDescent="0.25">
      <c r="P62" s="68"/>
      <c r="Q62" s="16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163"/>
      <c r="AW62" s="75"/>
      <c r="AX62" s="88"/>
      <c r="AY62" s="163"/>
      <c r="AZ62" s="76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143"/>
      <c r="BW62" s="12"/>
    </row>
    <row r="63" spans="1:75" x14ac:dyDescent="0.25">
      <c r="P63" s="68"/>
      <c r="Q63" s="16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163"/>
      <c r="AZ63" s="76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143"/>
      <c r="BW63" s="12"/>
    </row>
    <row r="64" spans="1:75" x14ac:dyDescent="0.25">
      <c r="P64" s="68"/>
      <c r="Q64" s="168"/>
      <c r="R64" s="88"/>
      <c r="S64" s="164" t="s">
        <v>81</v>
      </c>
      <c r="T64" s="164">
        <f ca="1">COUNTIF(SPC!C37:BA37,"&gt;"&amp;INDIRECT(U64))</f>
        <v>0</v>
      </c>
      <c r="U64" s="164" t="s">
        <v>197</v>
      </c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182"/>
      <c r="AZ64" s="77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143"/>
      <c r="BW64" s="12"/>
    </row>
    <row r="65" spans="16:75" x14ac:dyDescent="0.25">
      <c r="P65" s="68"/>
      <c r="Q65" s="168"/>
      <c r="R65" s="88"/>
      <c r="S65" s="164" t="s">
        <v>82</v>
      </c>
      <c r="T65" s="164">
        <f ca="1">COUNTIF(SPC!C37:BA37,"&lt;"&amp;INDIRECT(U65))</f>
        <v>0</v>
      </c>
      <c r="U65" s="164" t="s">
        <v>198</v>
      </c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143"/>
      <c r="BW65" s="12"/>
    </row>
    <row r="66" spans="16:75" x14ac:dyDescent="0.25">
      <c r="P66" s="68"/>
      <c r="Q66" s="168"/>
      <c r="R66" s="88"/>
      <c r="S66" s="164" t="s">
        <v>83</v>
      </c>
      <c r="T66" s="164">
        <f ca="1">COUNTIF(SPC!C38:BA38,"&gt;"&amp;INDIRECT(U66))</f>
        <v>0</v>
      </c>
      <c r="U66" s="164" t="s">
        <v>199</v>
      </c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143"/>
      <c r="BW66" s="12"/>
    </row>
    <row r="67" spans="16:75" x14ac:dyDescent="0.25">
      <c r="P67" s="68"/>
      <c r="Q67" s="168"/>
      <c r="R67" s="88"/>
      <c r="S67" s="164" t="s">
        <v>84</v>
      </c>
      <c r="T67" s="164">
        <f ca="1">COUNTIF(SPC!C38:BA38,"&lt;"&amp;INDIRECT(U67))</f>
        <v>51</v>
      </c>
      <c r="U67" s="164" t="s">
        <v>200</v>
      </c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143"/>
      <c r="BW67" s="12"/>
    </row>
    <row r="68" spans="16:75" x14ac:dyDescent="0.25">
      <c r="P68" s="68"/>
      <c r="Q68" s="16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143"/>
      <c r="BW68" s="12"/>
    </row>
    <row r="69" spans="16:75" x14ac:dyDescent="0.25">
      <c r="P69" s="68"/>
      <c r="Q69" s="16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143"/>
      <c r="BW69" s="12"/>
    </row>
    <row r="70" spans="16:75" x14ac:dyDescent="0.25">
      <c r="P70" s="68"/>
      <c r="Q70" s="168"/>
      <c r="R70" s="164"/>
      <c r="S70" s="164" t="s">
        <v>85</v>
      </c>
      <c r="T70" s="164">
        <f>IF(SUM(SPC!C32:C36)=0,"",IF(SPC!C37&gt;$U$33,1,0))</f>
        <v>0</v>
      </c>
      <c r="U70" s="164">
        <f>IF(SUM(SPC!D32:D36)=0,"",IF(SPC!D37&gt;$U$33,1,0))</f>
        <v>1</v>
      </c>
      <c r="V70" s="164">
        <f>IF(SUM(SPC!E32:E36)=0,"",IF(SPC!E37&gt;$U$33,1,0))</f>
        <v>0</v>
      </c>
      <c r="W70" s="164">
        <f>IF(SUM(SPC!F32:F36)=0,"",IF(SPC!F37&gt;$U$33,1,0))</f>
        <v>1</v>
      </c>
      <c r="X70" s="164">
        <f>IF(SUM(SPC!G32:G36)=0,"",IF(SPC!G37&gt;$U$33,1,0))</f>
        <v>0</v>
      </c>
      <c r="Y70" s="164">
        <f>IF(SUM(SPC!H32:H36)=0,"",IF(SPC!H37&gt;$U$33,1,0))</f>
        <v>1</v>
      </c>
      <c r="Z70" s="164">
        <f>IF(SUM(SPC!I32:I36)=0,"",IF(SPC!I37&gt;$U$33,1,0))</f>
        <v>0</v>
      </c>
      <c r="AA70" s="164">
        <f>IF(SUM(SPC!J32:J36)=0,"",IF(SPC!J37&gt;$U$33,1,0))</f>
        <v>1</v>
      </c>
      <c r="AB70" s="164">
        <f>IF(SUM(SPC!K32:K36)=0,"",IF(SPC!K37&gt;$U$33,1,0))</f>
        <v>0</v>
      </c>
      <c r="AC70" s="164">
        <f>IF(SUM(SPC!L32:L36)=0,"",IF(SPC!L37&gt;$U$33,1,0))</f>
        <v>1</v>
      </c>
      <c r="AD70" s="164">
        <f>IF(SUM(SPC!M32:M36)=0,"",IF(SPC!M37&gt;$U$33,1,0))</f>
        <v>0</v>
      </c>
      <c r="AE70" s="164">
        <f>IF(SUM(SPC!N32:N36)=0,"",IF(SPC!N37&gt;$U$33,1,0))</f>
        <v>1</v>
      </c>
      <c r="AF70" s="164">
        <f>IF(SUM(SPC!O32:O36)=0,"",IF(SPC!O37&gt;$U$33,1,0))</f>
        <v>0</v>
      </c>
      <c r="AG70" s="164">
        <f>IF(SUM(SPC!P32:P36)=0,"",IF(SPC!P37&gt;$U$33,1,0))</f>
        <v>1</v>
      </c>
      <c r="AH70" s="164">
        <f>IF(SUM(SPC!Q32:Q36)=0,"",IF(SPC!Q37&gt;$U$33,1,0))</f>
        <v>0</v>
      </c>
      <c r="AI70" s="164">
        <f>IF(SUM(SPC!R32:R36)=0,"",IF(SPC!R37&gt;$U$33,1,0))</f>
        <v>1</v>
      </c>
      <c r="AJ70" s="164">
        <f>IF(SUM(SPC!S32:S36)=0,"",IF(SPC!S37&gt;$U$33,1,0))</f>
        <v>0</v>
      </c>
      <c r="AK70" s="164">
        <f>IF(SUM(SPC!T32:T36)=0,"",IF(SPC!T37&gt;$U$33,1,0))</f>
        <v>1</v>
      </c>
      <c r="AL70" s="164">
        <f>IF(SUM(SPC!U32:U36)=0,"",IF(SPC!U37&gt;$U$33,1,0))</f>
        <v>0</v>
      </c>
      <c r="AM70" s="164">
        <f>IF(SUM(SPC!V32:V36)=0,"",IF(SPC!V37&gt;$U$33,1,0))</f>
        <v>1</v>
      </c>
      <c r="AN70" s="164">
        <f>IF(SUM(SPC!W32:W36)=0,"",IF(SPC!W37&gt;$U$33,1,0))</f>
        <v>0</v>
      </c>
      <c r="AO70" s="164">
        <f>IF(SUM(SPC!X32:X36)=0,"",IF(SPC!X37&gt;$U$33,1,0))</f>
        <v>1</v>
      </c>
      <c r="AP70" s="164">
        <f>IF(SUM(SPC!Y32:Y36)=0,"",IF(SPC!Y37&gt;$U$33,1,0))</f>
        <v>0</v>
      </c>
      <c r="AQ70" s="164">
        <f>IF(SUM(SPC!Z32:Z36)=0,"",IF(SPC!Z37&gt;$U$33,1,0))</f>
        <v>1</v>
      </c>
      <c r="AR70" s="164">
        <f>IF(SUM(SPC!AA32:AA36)=0,"",IF(SPC!AA37&gt;$U$33,1,0))</f>
        <v>0</v>
      </c>
      <c r="AS70" s="164">
        <f>IF(SUM(SPC!AC32:AC36)=0,"",IF(SPC!AC37&gt;$U$33,1,0))</f>
        <v>0</v>
      </c>
      <c r="AT70" s="164">
        <f>IF(SUM(SPC!AD32:AD36)=0,"",IF(SPC!AD37&gt;$U$33,1,0))</f>
        <v>1</v>
      </c>
      <c r="AU70" s="164">
        <f>IF(SUM(SPC!AE32:AE36)=0,"",IF(SPC!AE37&gt;$U$33,1,0))</f>
        <v>0</v>
      </c>
      <c r="AV70" s="164">
        <f>IF(SUM(SPC!AF32:AF36)=0,"",IF(SPC!AF37&gt;$U$33,1,0))</f>
        <v>1</v>
      </c>
      <c r="AW70" s="164">
        <f>IF(SUM(SPC!AG32:AG36)=0,"",IF(SPC!AG37&gt;$U$33,1,0))</f>
        <v>0</v>
      </c>
      <c r="AX70" s="164">
        <f>IF(SUM(SPC!AH32:AH36)=0,"",IF(SPC!AH37&gt;$U$33,1,0))</f>
        <v>1</v>
      </c>
      <c r="AY70" s="164">
        <f>IF(SUM(SPC!AI32:AI36)=0,"",IF(SPC!AI37&gt;$U$33,1,0))</f>
        <v>0</v>
      </c>
      <c r="AZ70" s="164">
        <f>IF(SUM(SPC!AJ32:AJ36)=0,"",IF(SPC!AJ37&gt;$U$33,1,0))</f>
        <v>1</v>
      </c>
      <c r="BA70" s="164">
        <f>IF(SUM(SPC!AK32:AK36)=0,"",IF(SPC!AK37&gt;$U$33,1,0))</f>
        <v>0</v>
      </c>
      <c r="BB70" s="164">
        <f>IF(SUM(SPC!AL32:AL36)=0,"",IF(SPC!AL37&gt;$U$33,1,0))</f>
        <v>1</v>
      </c>
      <c r="BC70" s="164">
        <f>IF(SUM(SPC!AM32:AM36)=0,"",IF(SPC!AM37&gt;$U$33,1,0))</f>
        <v>0</v>
      </c>
      <c r="BD70" s="164">
        <f>IF(SUM(SPC!AN32:AN36)=0,"",IF(SPC!AN37&gt;$U$33,1,0))</f>
        <v>1</v>
      </c>
      <c r="BE70" s="164">
        <f>IF(SUM(SPC!AO32:AO36)=0,"",IF(SPC!AO37&gt;$U$33,1,0))</f>
        <v>0</v>
      </c>
      <c r="BF70" s="164">
        <f>IF(SUM(SPC!AP32:AP36)=0,"",IF(SPC!AP37&gt;$U$33,1,0))</f>
        <v>1</v>
      </c>
      <c r="BG70" s="164">
        <f>IF(SUM(SPC!AQ32:AQ36)=0,"",IF(SPC!AQ37&gt;$U$33,1,0))</f>
        <v>0</v>
      </c>
      <c r="BH70" s="164">
        <f>IF(SUM(SPC!AR32:AR36)=0,"",IF(SPC!AR37&gt;$U$33,1,0))</f>
        <v>1</v>
      </c>
      <c r="BI70" s="164">
        <f>IF(SUM(SPC!AS32:AS36)=0,"",IF(SPC!AS37&gt;$U$33,1,0))</f>
        <v>0</v>
      </c>
      <c r="BJ70" s="164">
        <f>IF(SUM(SPC!AT32:AT36)=0,"",IF(SPC!AT37&gt;$U$33,1,0))</f>
        <v>1</v>
      </c>
      <c r="BK70" s="164">
        <f>IF(SUM(SPC!AU32:AU36)=0,"",IF(SPC!AU37&gt;$U$33,1,0))</f>
        <v>0</v>
      </c>
      <c r="BL70" s="164">
        <f>IF(SUM(SPC!AV32:AV36)=0,"",IF(SPC!AV37&gt;$U$33,1,0))</f>
        <v>1</v>
      </c>
      <c r="BM70" s="164">
        <f>IF(SUM(SPC!AW32:AW36)=0,"",IF(SPC!AW37&gt;$U$33,1,0))</f>
        <v>0</v>
      </c>
      <c r="BN70" s="164">
        <f>IF(SUM(SPC!AX32:AX36)=0,"",IF(SPC!AX37&gt;$U$33,1,0))</f>
        <v>1</v>
      </c>
      <c r="BO70" s="164">
        <f>IF(SUM(SPC!AY32:AY36)=0,"",IF(SPC!AY37&gt;$U$33,1,0))</f>
        <v>0</v>
      </c>
      <c r="BP70" s="164">
        <f>IF(SUM(SPC!AZ32:AZ36)=0,"",IF(SPC!AZ37&gt;$U$33,1,0))</f>
        <v>1</v>
      </c>
      <c r="BQ70" s="164" t="str">
        <f>IF(SUM(P37:P41)=0,"",IF(P42&gt;$U$33,1,0))</f>
        <v/>
      </c>
      <c r="BR70" s="88"/>
      <c r="BS70" s="88"/>
      <c r="BT70" s="88"/>
      <c r="BU70" s="88"/>
      <c r="BV70" s="143"/>
      <c r="BW70" s="12"/>
    </row>
    <row r="71" spans="16:75" x14ac:dyDescent="0.25">
      <c r="P71" s="68"/>
      <c r="Q71" s="168"/>
      <c r="R71" s="164"/>
      <c r="S71" s="164" t="s">
        <v>86</v>
      </c>
      <c r="T71" s="164">
        <f>IF(SUM(SPC!C32:C36)=0,"",IF(SPC!C37&lt;$U$33,1,0))</f>
        <v>1</v>
      </c>
      <c r="U71" s="164">
        <f>IF(SUM(SPC!D32:D36)=0,"",IF(SPC!D37&lt;$U$33,1,0))</f>
        <v>0</v>
      </c>
      <c r="V71" s="164">
        <f>IF(SUM(SPC!E32:E36)=0,"",IF(SPC!E37&lt;$U$33,1,0))</f>
        <v>1</v>
      </c>
      <c r="W71" s="164">
        <f>IF(SUM(SPC!F32:F36)=0,"",IF(SPC!F37&lt;$U$33,1,0))</f>
        <v>0</v>
      </c>
      <c r="X71" s="164">
        <f>IF(SUM(SPC!G32:G36)=0,"",IF(SPC!G37&lt;$U$33,1,0))</f>
        <v>1</v>
      </c>
      <c r="Y71" s="164">
        <f>IF(SUM(SPC!H32:H36)=0,"",IF(SPC!H37&lt;$U$33,1,0))</f>
        <v>0</v>
      </c>
      <c r="Z71" s="164">
        <f>IF(SUM(SPC!I32:I36)=0,"",IF(SPC!I37&lt;$U$33,1,0))</f>
        <v>1</v>
      </c>
      <c r="AA71" s="164">
        <f>IF(SUM(SPC!J32:J36)=0,"",IF(SPC!J37&lt;$U$33,1,0))</f>
        <v>0</v>
      </c>
      <c r="AB71" s="164">
        <f>IF(SUM(SPC!K32:K36)=0,"",IF(SPC!K37&lt;$U$33,1,0))</f>
        <v>1</v>
      </c>
      <c r="AC71" s="164">
        <f>IF(SUM(SPC!L32:L36)=0,"",IF(SPC!L37&lt;$U$33,1,0))</f>
        <v>0</v>
      </c>
      <c r="AD71" s="164">
        <f>IF(SUM(SPC!M32:M36)=0,"",IF(SPC!M37&lt;$U$33,1,0))</f>
        <v>1</v>
      </c>
      <c r="AE71" s="164">
        <f>IF(SUM(SPC!N32:N36)=0,"",IF(SPC!N37&lt;$U$33,1,0))</f>
        <v>0</v>
      </c>
      <c r="AF71" s="164">
        <f>IF(SUM(SPC!O32:O36)=0,"",IF(SPC!O37&lt;$U$33,1,0))</f>
        <v>1</v>
      </c>
      <c r="AG71" s="164">
        <f>IF(SUM(SPC!P32:P36)=0,"",IF(SPC!P37&lt;$U$33,1,0))</f>
        <v>0</v>
      </c>
      <c r="AH71" s="164">
        <f>IF(SUM(SPC!Q32:Q36)=0,"",IF(SPC!Q37&lt;$U$33,1,0))</f>
        <v>1</v>
      </c>
      <c r="AI71" s="164">
        <f>IF(SUM(SPC!R32:R36)=0,"",IF(SPC!R37&lt;$U$33,1,0))</f>
        <v>0</v>
      </c>
      <c r="AJ71" s="164">
        <f>IF(SUM(SPC!S32:S36)=0,"",IF(SPC!S37&lt;$U$33,1,0))</f>
        <v>1</v>
      </c>
      <c r="AK71" s="164">
        <f>IF(SUM(SPC!T32:T36)=0,"",IF(SPC!T37&lt;$U$33,1,0))</f>
        <v>0</v>
      </c>
      <c r="AL71" s="164">
        <f>IF(SUM(SPC!U32:U36)=0,"",IF(SPC!U37&lt;$U$33,1,0))</f>
        <v>1</v>
      </c>
      <c r="AM71" s="164">
        <f>IF(SUM(SPC!V32:V36)=0,"",IF(SPC!V37&lt;$U$33,1,0))</f>
        <v>0</v>
      </c>
      <c r="AN71" s="164">
        <f>IF(SUM(SPC!W32:W36)=0,"",IF(SPC!W37&lt;$U$33,1,0))</f>
        <v>1</v>
      </c>
      <c r="AO71" s="164">
        <f>IF(SUM(SPC!X32:X36)=0,"",IF(SPC!X37&lt;$U$33,1,0))</f>
        <v>0</v>
      </c>
      <c r="AP71" s="164">
        <f>IF(SUM(SPC!Y32:Y36)=0,"",IF(SPC!Y37&lt;$U$33,1,0))</f>
        <v>1</v>
      </c>
      <c r="AQ71" s="164">
        <f>IF(SUM(SPC!Z32:Z36)=0,"",IF(SPC!Z37&lt;$U$33,1,0))</f>
        <v>0</v>
      </c>
      <c r="AR71" s="164">
        <f>IF(SUM(SPC!AA32:AA36)=0,"",IF(SPC!AA37&lt;$U$33,1,0))</f>
        <v>1</v>
      </c>
      <c r="AS71" s="164">
        <f>IF(SUM(SPC!AC32:AC36)=0,"",IF(SPC!AC37&lt;$U$33,1,0))</f>
        <v>1</v>
      </c>
      <c r="AT71" s="164">
        <f>IF(SUM(SPC!AD32:AD36)=0,"",IF(SPC!AD37&lt;$U$33,1,0))</f>
        <v>0</v>
      </c>
      <c r="AU71" s="164">
        <f>IF(SUM(SPC!AE32:AE36)=0,"",IF(SPC!AE37&lt;$U$33,1,0))</f>
        <v>1</v>
      </c>
      <c r="AV71" s="164">
        <f>IF(SUM(SPC!AF32:AF36)=0,"",IF(SPC!AF37&lt;$U$33,1,0))</f>
        <v>0</v>
      </c>
      <c r="AW71" s="164">
        <f>IF(SUM(SPC!AG32:AG36)=0,"",IF(SPC!AG37&lt;$U$33,1,0))</f>
        <v>1</v>
      </c>
      <c r="AX71" s="164">
        <f>IF(SUM(SPC!AH32:AH36)=0,"",IF(SPC!AH37&lt;$U$33,1,0))</f>
        <v>0</v>
      </c>
      <c r="AY71" s="164">
        <f>IF(SUM(SPC!AI32:AI36)=0,"",IF(SPC!AI37&lt;$U$33,1,0))</f>
        <v>1</v>
      </c>
      <c r="AZ71" s="164">
        <f>IF(SUM(SPC!AJ32:AJ36)=0,"",IF(SPC!AJ37&lt;$U$33,1,0))</f>
        <v>0</v>
      </c>
      <c r="BA71" s="164">
        <f>IF(SUM(SPC!AK32:AK36)=0,"",IF(SPC!AK37&lt;$U$33,1,0))</f>
        <v>1</v>
      </c>
      <c r="BB71" s="164">
        <f>IF(SUM(SPC!AL32:AL36)=0,"",IF(SPC!AL37&lt;$U$33,1,0))</f>
        <v>0</v>
      </c>
      <c r="BC71" s="164">
        <f>IF(SUM(SPC!AM32:AM36)=0,"",IF(SPC!AM37&lt;$U$33,1,0))</f>
        <v>1</v>
      </c>
      <c r="BD71" s="164">
        <f>IF(SUM(SPC!AN32:AN36)=0,"",IF(SPC!AN37&lt;$U$33,1,0))</f>
        <v>0</v>
      </c>
      <c r="BE71" s="164">
        <f>IF(SUM(SPC!AO32:AO36)=0,"",IF(SPC!AO37&lt;$U$33,1,0))</f>
        <v>1</v>
      </c>
      <c r="BF71" s="164">
        <f>IF(SUM(SPC!AP32:AP36)=0,"",IF(SPC!AP37&lt;$U$33,1,0))</f>
        <v>0</v>
      </c>
      <c r="BG71" s="164">
        <f>IF(SUM(SPC!AQ32:AQ36)=0,"",IF(SPC!AQ37&lt;$U$33,1,0))</f>
        <v>1</v>
      </c>
      <c r="BH71" s="164">
        <f>IF(SUM(SPC!AR32:AR36)=0,"",IF(SPC!AR37&lt;$U$33,1,0))</f>
        <v>0</v>
      </c>
      <c r="BI71" s="164">
        <f>IF(SUM(SPC!AS32:AS36)=0,"",IF(SPC!AS37&lt;$U$33,1,0))</f>
        <v>1</v>
      </c>
      <c r="BJ71" s="164">
        <f>IF(SUM(SPC!AT32:AT36)=0,"",IF(SPC!AT37&lt;$U$33,1,0))</f>
        <v>0</v>
      </c>
      <c r="BK71" s="164">
        <f>IF(SUM(SPC!AU32:AU36)=0,"",IF(SPC!AU37&lt;$U$33,1,0))</f>
        <v>1</v>
      </c>
      <c r="BL71" s="164">
        <f>IF(SUM(SPC!AV32:AV36)=0,"",IF(SPC!AV37&lt;$U$33,1,0))</f>
        <v>0</v>
      </c>
      <c r="BM71" s="164">
        <f>IF(SUM(SPC!AW32:AW36)=0,"",IF(SPC!AW37&lt;$U$33,1,0))</f>
        <v>1</v>
      </c>
      <c r="BN71" s="164">
        <f>IF(SUM(SPC!AX32:AX36)=0,"",IF(SPC!AX37&lt;$U$33,1,0))</f>
        <v>0</v>
      </c>
      <c r="BO71" s="164">
        <f>IF(SUM(SPC!AY32:AY36)=0,"",IF(SPC!AY37&lt;$U$33,1,0))</f>
        <v>1</v>
      </c>
      <c r="BP71" s="164">
        <f>IF(SUM(SPC!AZ32:AZ36)=0,"",IF(SPC!AZ37&lt;$U$33,1,0))</f>
        <v>0</v>
      </c>
      <c r="BQ71" s="164" t="str">
        <f>IF(SUM(P37:P41)=0,"",IF(P42&lt;$U$33,1,0))</f>
        <v/>
      </c>
      <c r="BR71" s="88"/>
      <c r="BS71" s="88"/>
      <c r="BT71" s="88"/>
      <c r="BU71" s="88"/>
      <c r="BV71" s="143"/>
      <c r="BW71" s="12"/>
    </row>
    <row r="72" spans="16:75" x14ac:dyDescent="0.25">
      <c r="P72" s="68"/>
      <c r="Q72" s="168"/>
      <c r="R72" s="164"/>
      <c r="S72" s="164" t="s">
        <v>87</v>
      </c>
      <c r="T72" s="164">
        <f>IF(SUM(SPC!C32:C36)=0,"",IF(SPC!C38&gt;$U$35,1,0))</f>
        <v>1</v>
      </c>
      <c r="U72" s="164">
        <f>IF(SUM(SPC!D32:D36)=0,"",IF(SPC!D38&gt;$U$35,1,0))</f>
        <v>0</v>
      </c>
      <c r="V72" s="164">
        <f>IF(SUM(SPC!E32:E36)=0,"",IF(SPC!E38&gt;$U$35,1,0))</f>
        <v>0</v>
      </c>
      <c r="W72" s="164">
        <f>IF(SUM(SPC!F32:F36)=0,"",IF(SPC!F38&gt;$U$35,1,0))</f>
        <v>1</v>
      </c>
      <c r="X72" s="164">
        <f>IF(SUM(SPC!G32:G36)=0,"",IF(SPC!G38&gt;$U$35,1,0))</f>
        <v>1</v>
      </c>
      <c r="Y72" s="164">
        <f>IF(SUM(SPC!H32:H36)=0,"",IF(SPC!H38&gt;$U$35,1,0))</f>
        <v>0</v>
      </c>
      <c r="Z72" s="164">
        <f>IF(SUM(SPC!I32:I36)=0,"",IF(SPC!I38&gt;$U$35,1,0))</f>
        <v>0</v>
      </c>
      <c r="AA72" s="164">
        <f>IF(SUM(SPC!J32:J36)=0,"",IF(SPC!J38&gt;$U$35,1,0))</f>
        <v>1</v>
      </c>
      <c r="AB72" s="164">
        <f>IF(SUM(SPC!K32:K36)=0,"",IF(SPC!K38&gt;$U$35,1,0))</f>
        <v>1</v>
      </c>
      <c r="AC72" s="164">
        <f>IF(SUM(SPC!L32:L36)=0,"",IF(SPC!L38&gt;$U$35,1,0))</f>
        <v>0</v>
      </c>
      <c r="AD72" s="164">
        <f>IF(SUM(SPC!M32:M36)=0,"",IF(SPC!M38&gt;$U$35,1,0))</f>
        <v>0</v>
      </c>
      <c r="AE72" s="164">
        <f>IF(SUM(SPC!N32:N36)=0,"",IF(SPC!N38&gt;$U$35,1,0))</f>
        <v>1</v>
      </c>
      <c r="AF72" s="164">
        <f>IF(SUM(SPC!O32:O36)=0,"",IF(SPC!O38&gt;$U$35,1,0))</f>
        <v>1</v>
      </c>
      <c r="AG72" s="164">
        <f>IF(SUM(SPC!P32:P36)=0,"",IF(SPC!P38&gt;$U$35,1,0))</f>
        <v>0</v>
      </c>
      <c r="AH72" s="164">
        <f>IF(SUM(SPC!Q32:Q36)=0,"",IF(SPC!Q38&gt;$U$35,1,0))</f>
        <v>0</v>
      </c>
      <c r="AI72" s="164">
        <f>IF(SUM(SPC!R32:R36)=0,"",IF(SPC!R38&gt;$U$35,1,0))</f>
        <v>1</v>
      </c>
      <c r="AJ72" s="164">
        <f>IF(SUM(SPC!S32:S36)=0,"",IF(SPC!S38&gt;$U$35,1,0))</f>
        <v>1</v>
      </c>
      <c r="AK72" s="164">
        <f>IF(SUM(SPC!T32:T36)=0,"",IF(SPC!T38&gt;$U$35,1,0))</f>
        <v>0</v>
      </c>
      <c r="AL72" s="164">
        <f>IF(SUM(SPC!U32:U36)=0,"",IF(SPC!U38&gt;$U$35,1,0))</f>
        <v>0</v>
      </c>
      <c r="AM72" s="164">
        <f>IF(SUM(SPC!V32:V36)=0,"",IF(SPC!V38&gt;$U$35,1,0))</f>
        <v>1</v>
      </c>
      <c r="AN72" s="164">
        <f>IF(SUM(SPC!W32:W36)=0,"",IF(SPC!W38&gt;$U$35,1,0))</f>
        <v>1</v>
      </c>
      <c r="AO72" s="164">
        <f>IF(SUM(SPC!X32:X36)=0,"",IF(SPC!X38&gt;$U$35,1,0))</f>
        <v>0</v>
      </c>
      <c r="AP72" s="164">
        <f>IF(SUM(SPC!Y32:Y36)=0,"",IF(SPC!Y38&gt;$U$35,1,0))</f>
        <v>0</v>
      </c>
      <c r="AQ72" s="164">
        <f>IF(SUM(SPC!Z32:Z36)=0,"",IF(SPC!Z38&gt;$U$35,1,0))</f>
        <v>1</v>
      </c>
      <c r="AR72" s="164">
        <f>IF(SUM(SPC!AA32:AA36)=0,"",IF(SPC!AA38&gt;$U$35,1,0))</f>
        <v>1</v>
      </c>
      <c r="AS72" s="164">
        <f>IF(SUM(SPC!AC32:AC36)=0,"",IF(SPC!AC38&gt;$U$35,1,0))</f>
        <v>0</v>
      </c>
      <c r="AT72" s="164">
        <f>IF(SUM(SPC!AD32:AD36)=0,"",IF(SPC!AD38&gt;$U$35,1,0))</f>
        <v>1</v>
      </c>
      <c r="AU72" s="164">
        <f>IF(SUM(SPC!AE32:AE36)=0,"",IF(SPC!AE38&gt;$U$35,1,0))</f>
        <v>1</v>
      </c>
      <c r="AV72" s="164">
        <f>IF(SUM(SPC!AF32:AF36)=0,"",IF(SPC!AF38&gt;$U$35,1,0))</f>
        <v>0</v>
      </c>
      <c r="AW72" s="164">
        <f>IF(SUM(SPC!AG32:AG36)=0,"",IF(SPC!AG38&gt;$U$35,1,0))</f>
        <v>0</v>
      </c>
      <c r="AX72" s="164">
        <f>IF(SUM(SPC!AH32:AH36)=0,"",IF(SPC!AH38&gt;$U$35,1,0))</f>
        <v>1</v>
      </c>
      <c r="AY72" s="164">
        <f>IF(SUM(SPC!AI32:AI36)=0,"",IF(SPC!AI38&gt;$U$35,1,0))</f>
        <v>1</v>
      </c>
      <c r="AZ72" s="164">
        <f>IF(SUM(SPC!AJ32:AJ36)=0,"",IF(SPC!AJ38&gt;$U$35,1,0))</f>
        <v>0</v>
      </c>
      <c r="BA72" s="164">
        <f>IF(SUM(SPC!AK32:AK36)=0,"",IF(SPC!AK38&gt;$U$35,1,0))</f>
        <v>0</v>
      </c>
      <c r="BB72" s="164">
        <f>IF(SUM(SPC!AL32:AL36)=0,"",IF(SPC!AL38&gt;$U$35,1,0))</f>
        <v>1</v>
      </c>
      <c r="BC72" s="164">
        <f>IF(SUM(SPC!AM32:AM36)=0,"",IF(SPC!AM38&gt;$U$35,1,0))</f>
        <v>1</v>
      </c>
      <c r="BD72" s="164">
        <f>IF(SUM(SPC!AN32:AN36)=0,"",IF(SPC!AN38&gt;$U$35,1,0))</f>
        <v>0</v>
      </c>
      <c r="BE72" s="164">
        <f>IF(SUM(SPC!AO32:AO36)=0,"",IF(SPC!AO38&gt;$U$35,1,0))</f>
        <v>0</v>
      </c>
      <c r="BF72" s="164">
        <f>IF(SUM(SPC!AP32:AP36)=0,"",IF(SPC!AP38&gt;$U$35,1,0))</f>
        <v>1</v>
      </c>
      <c r="BG72" s="164">
        <f>IF(SUM(SPC!AQ32:AQ36)=0,"",IF(SPC!AQ38&gt;$U$35,1,0))</f>
        <v>1</v>
      </c>
      <c r="BH72" s="164">
        <f>IF(SUM(SPC!AR32:AR36)=0,"",IF(SPC!AR38&gt;$U$35,1,0))</f>
        <v>0</v>
      </c>
      <c r="BI72" s="164">
        <f>IF(SUM(SPC!AS32:AS36)=0,"",IF(SPC!AS38&gt;$U$35,1,0))</f>
        <v>0</v>
      </c>
      <c r="BJ72" s="164">
        <f>IF(SUM(SPC!AT32:AT36)=0,"",IF(SPC!AT38&gt;$U$35,1,0))</f>
        <v>1</v>
      </c>
      <c r="BK72" s="164">
        <f>IF(SUM(SPC!AU32:AU36)=0,"",IF(SPC!AU38&gt;$U$35,1,0))</f>
        <v>1</v>
      </c>
      <c r="BL72" s="164">
        <f>IF(SUM(SPC!AV32:AV36)=0,"",IF(SPC!AV38&gt;$U$35,1,0))</f>
        <v>0</v>
      </c>
      <c r="BM72" s="164">
        <f>IF(SUM(SPC!AW32:AW36)=0,"",IF(SPC!AW38&gt;$U$35,1,0))</f>
        <v>0</v>
      </c>
      <c r="BN72" s="164">
        <f>IF(SUM(SPC!AX32:AX36)=0,"",IF(SPC!AX38&gt;$U$35,1,0))</f>
        <v>1</v>
      </c>
      <c r="BO72" s="164">
        <f>IF(SUM(SPC!AY32:AY36)=0,"",IF(SPC!AY38&gt;$U$35,1,0))</f>
        <v>1</v>
      </c>
      <c r="BP72" s="164">
        <f>IF(SUM(SPC!AZ32:AZ36)=0,"",IF(SPC!AZ38&gt;$U$35,1,0))</f>
        <v>0</v>
      </c>
      <c r="BQ72" s="164" t="str">
        <f>IF(SUM(P37:P41)=0,"",IF(P43&gt;$U$35,1,0))</f>
        <v/>
      </c>
      <c r="BR72" s="88"/>
      <c r="BS72" s="88"/>
      <c r="BT72" s="88"/>
      <c r="BU72" s="88"/>
      <c r="BV72" s="143"/>
      <c r="BW72" s="12"/>
    </row>
    <row r="73" spans="16:75" x14ac:dyDescent="0.25">
      <c r="P73" s="68"/>
      <c r="Q73" s="168"/>
      <c r="R73" s="164"/>
      <c r="S73" s="164" t="s">
        <v>88</v>
      </c>
      <c r="T73" s="164">
        <f>IF(SUM(SPC!C32:C36)=0,"",IF(SPC!C38&lt;$U$35,1,0))</f>
        <v>0</v>
      </c>
      <c r="U73" s="164">
        <f>IF(SUM(SPC!D32:D36)=0,"",IF(SPC!D38&lt;$U$35,1,0))</f>
        <v>1</v>
      </c>
      <c r="V73" s="164">
        <f>IF(SUM(SPC!E32:E36)=0,"",IF(SPC!E38&lt;$U$35,1,0))</f>
        <v>1</v>
      </c>
      <c r="W73" s="164">
        <f>IF(SUM(SPC!F32:F36)=0,"",IF(SPC!F38&lt;$U$35,1,0))</f>
        <v>0</v>
      </c>
      <c r="X73" s="164">
        <f>IF(SUM(SPC!G32:G36)=0,"",IF(SPC!G38&lt;$U$35,1,0))</f>
        <v>0</v>
      </c>
      <c r="Y73" s="164">
        <f>IF(SUM(SPC!H32:H36)=0,"",IF(SPC!H38&lt;$U$35,1,0))</f>
        <v>1</v>
      </c>
      <c r="Z73" s="164">
        <f>IF(SUM(SPC!I32:I36)=0,"",IF(SPC!I38&lt;$U$35,1,0))</f>
        <v>1</v>
      </c>
      <c r="AA73" s="164">
        <f>IF(SUM(SPC!J32:J36)=0,"",IF(SPC!J38&lt;$U$35,1,0))</f>
        <v>0</v>
      </c>
      <c r="AB73" s="164">
        <f>IF(SUM(SPC!K32:K36)=0,"",IF(SPC!K38&lt;$U$35,1,0))</f>
        <v>0</v>
      </c>
      <c r="AC73" s="164">
        <f>IF(SUM(SPC!L32:L36)=0,"",IF(SPC!L38&lt;$U$35,1,0))</f>
        <v>1</v>
      </c>
      <c r="AD73" s="164">
        <f>IF(SUM(SPC!M32:M36)=0,"",IF(SPC!M38&lt;$U$35,1,0))</f>
        <v>1</v>
      </c>
      <c r="AE73" s="164">
        <f>IF(SUM(SPC!N32:N36)=0,"",IF(SPC!N38&lt;$U$35,1,0))</f>
        <v>0</v>
      </c>
      <c r="AF73" s="164">
        <f>IF(SUM(SPC!O32:O36)=0,"",IF(SPC!O38&lt;$U$35,1,0))</f>
        <v>0</v>
      </c>
      <c r="AG73" s="164">
        <f>IF(SUM(SPC!P32:P36)=0,"",IF(SPC!P38&lt;$U$35,1,0))</f>
        <v>1</v>
      </c>
      <c r="AH73" s="164">
        <f>IF(SUM(SPC!Q32:Q36)=0,"",IF(SPC!Q38&lt;$U$35,1,0))</f>
        <v>1</v>
      </c>
      <c r="AI73" s="164">
        <f>IF(SUM(SPC!R32:R36)=0,"",IF(SPC!R38&lt;$U$35,1,0))</f>
        <v>0</v>
      </c>
      <c r="AJ73" s="164">
        <f>IF(SUM(SPC!S32:S36)=0,"",IF(SPC!S38&lt;$U$35,1,0))</f>
        <v>0</v>
      </c>
      <c r="AK73" s="164">
        <f>IF(SUM(SPC!T32:T36)=0,"",IF(SPC!T38&lt;$U$35,1,0))</f>
        <v>1</v>
      </c>
      <c r="AL73" s="164">
        <f>IF(SUM(SPC!U32:U36)=0,"",IF(SPC!U38&lt;$U$35,1,0))</f>
        <v>1</v>
      </c>
      <c r="AM73" s="164">
        <f>IF(SUM(SPC!V32:V36)=0,"",IF(SPC!V38&lt;$U$35,1,0))</f>
        <v>0</v>
      </c>
      <c r="AN73" s="164">
        <f>IF(SUM(SPC!W32:W36)=0,"",IF(SPC!W38&lt;$U$35,1,0))</f>
        <v>0</v>
      </c>
      <c r="AO73" s="164">
        <f>IF(SUM(SPC!X32:X36)=0,"",IF(SPC!X38&lt;$U$35,1,0))</f>
        <v>1</v>
      </c>
      <c r="AP73" s="164">
        <f>IF(SUM(SPC!Y32:Y36)=0,"",IF(SPC!Y38&lt;$U$35,1,0))</f>
        <v>1</v>
      </c>
      <c r="AQ73" s="164">
        <f>IF(SUM(SPC!Z32:Z36)=0,"",IF(SPC!Z38&lt;$U$35,1,0))</f>
        <v>0</v>
      </c>
      <c r="AR73" s="164">
        <f>IF(SUM(SPC!AA32:AA36)=0,"",IF(SPC!AA38&lt;$U$35,1,0))</f>
        <v>0</v>
      </c>
      <c r="AS73" s="164">
        <f>IF(SUM(SPC!AC32:AC36)=0,"",IF(SPC!AC38&lt;$U$35,1,0))</f>
        <v>1</v>
      </c>
      <c r="AT73" s="164">
        <f>IF(SUM(SPC!AD32:AD36)=0,"",IF(SPC!AD38&lt;$U$35,1,0))</f>
        <v>0</v>
      </c>
      <c r="AU73" s="164">
        <f>IF(SUM(SPC!AE32:AE36)=0,"",IF(SPC!AE38&lt;$U$35,1,0))</f>
        <v>0</v>
      </c>
      <c r="AV73" s="164">
        <f>IF(SUM(SPC!AF32:AF36)=0,"",IF(SPC!AF38&lt;$U$35,1,0))</f>
        <v>1</v>
      </c>
      <c r="AW73" s="164">
        <f>IF(SUM(SPC!AG32:AG36)=0,"",IF(SPC!AG38&lt;$U$35,1,0))</f>
        <v>1</v>
      </c>
      <c r="AX73" s="164">
        <f>IF(SUM(SPC!AH32:AH36)=0,"",IF(SPC!AH38&lt;$U$35,1,0))</f>
        <v>0</v>
      </c>
      <c r="AY73" s="164">
        <f>IF(SUM(SPC!AI32:AI36)=0,"",IF(SPC!AI38&lt;$U$35,1,0))</f>
        <v>0</v>
      </c>
      <c r="AZ73" s="164">
        <f>IF(SUM(SPC!AJ32:AJ36)=0,"",IF(SPC!AJ38&lt;$U$35,1,0))</f>
        <v>1</v>
      </c>
      <c r="BA73" s="164">
        <f>IF(SUM(SPC!AK32:AK36)=0,"",IF(SPC!AK38&lt;$U$35,1,0))</f>
        <v>1</v>
      </c>
      <c r="BB73" s="164">
        <f>IF(SUM(SPC!AL32:AL36)=0,"",IF(SPC!AL38&lt;$U$35,1,0))</f>
        <v>0</v>
      </c>
      <c r="BC73" s="164">
        <f>IF(SUM(SPC!AM32:AM36)=0,"",IF(SPC!AM38&lt;$U$35,1,0))</f>
        <v>0</v>
      </c>
      <c r="BD73" s="164">
        <f>IF(SUM(SPC!AN32:AN36)=0,"",IF(SPC!AN38&lt;$U$35,1,0))</f>
        <v>1</v>
      </c>
      <c r="BE73" s="164">
        <f>IF(SUM(SPC!AO32:AO36)=0,"",IF(SPC!AO38&lt;$U$35,1,0))</f>
        <v>1</v>
      </c>
      <c r="BF73" s="164">
        <f>IF(SUM(SPC!AP32:AP36)=0,"",IF(SPC!AP38&lt;$U$35,1,0))</f>
        <v>0</v>
      </c>
      <c r="BG73" s="164">
        <f>IF(SUM(SPC!AQ32:AQ36)=0,"",IF(SPC!AQ38&lt;$U$35,1,0))</f>
        <v>0</v>
      </c>
      <c r="BH73" s="164">
        <f>IF(SUM(SPC!AR32:AR36)=0,"",IF(SPC!AR38&lt;$U$35,1,0))</f>
        <v>1</v>
      </c>
      <c r="BI73" s="164">
        <f>IF(SUM(SPC!AS32:AS36)=0,"",IF(SPC!AS38&lt;$U$35,1,0))</f>
        <v>1</v>
      </c>
      <c r="BJ73" s="164">
        <f>IF(SUM(SPC!AT32:AT36)=0,"",IF(SPC!AT38&lt;$U$35,1,0))</f>
        <v>0</v>
      </c>
      <c r="BK73" s="164">
        <f>IF(SUM(SPC!AU32:AU36)=0,"",IF(SPC!AU38&lt;$U$35,1,0))</f>
        <v>0</v>
      </c>
      <c r="BL73" s="164">
        <f>IF(SUM(SPC!AV32:AV36)=0,"",IF(SPC!AV38&lt;$U$35,1,0))</f>
        <v>1</v>
      </c>
      <c r="BM73" s="164">
        <f>IF(SUM(SPC!AW32:AW36)=0,"",IF(SPC!AW38&lt;$U$35,1,0))</f>
        <v>1</v>
      </c>
      <c r="BN73" s="164">
        <f>IF(SUM(SPC!AX32:AX36)=0,"",IF(SPC!AX38&lt;$U$35,1,0))</f>
        <v>0</v>
      </c>
      <c r="BO73" s="164">
        <f>IF(SUM(SPC!AY32:AY36)=0,"",IF(SPC!AY38&lt;$U$35,1,0))</f>
        <v>0</v>
      </c>
      <c r="BP73" s="164">
        <f>IF(SUM(SPC!AZ32:AZ36)=0,"",IF(SPC!AZ38&lt;$U$35,1,0))</f>
        <v>1</v>
      </c>
      <c r="BQ73" s="164" t="str">
        <f>IF(SUM(P37:P41)=0,"",IF(P43&lt;$U$35,1,0))</f>
        <v/>
      </c>
      <c r="BR73" s="88"/>
      <c r="BS73" s="88"/>
      <c r="BT73" s="88"/>
      <c r="BU73" s="88"/>
      <c r="BV73" s="143"/>
      <c r="BW73" s="12"/>
    </row>
    <row r="74" spans="16:75" x14ac:dyDescent="0.25">
      <c r="P74" s="68"/>
      <c r="Q74" s="168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143"/>
      <c r="BW74" s="12"/>
    </row>
    <row r="75" spans="16:75" x14ac:dyDescent="0.25">
      <c r="P75" s="68"/>
      <c r="Q75" s="168"/>
      <c r="R75" s="164"/>
      <c r="S75" s="164" t="s">
        <v>89</v>
      </c>
      <c r="T75" s="164">
        <f>IF(T70=1,1,0)</f>
        <v>0</v>
      </c>
      <c r="U75" s="164">
        <f t="shared" ref="U75:AZ75" si="23">IF(AND(U70=1,T70=1),T75+1,1)</f>
        <v>1</v>
      </c>
      <c r="V75" s="164">
        <f t="shared" si="23"/>
        <v>1</v>
      </c>
      <c r="W75" s="164">
        <f t="shared" si="23"/>
        <v>1</v>
      </c>
      <c r="X75" s="164">
        <f t="shared" si="23"/>
        <v>1</v>
      </c>
      <c r="Y75" s="164">
        <f t="shared" si="23"/>
        <v>1</v>
      </c>
      <c r="Z75" s="164">
        <f t="shared" si="23"/>
        <v>1</v>
      </c>
      <c r="AA75" s="164">
        <f t="shared" si="23"/>
        <v>1</v>
      </c>
      <c r="AB75" s="164">
        <f t="shared" si="23"/>
        <v>1</v>
      </c>
      <c r="AC75" s="164">
        <f t="shared" si="23"/>
        <v>1</v>
      </c>
      <c r="AD75" s="164">
        <f t="shared" si="23"/>
        <v>1</v>
      </c>
      <c r="AE75" s="164">
        <f t="shared" si="23"/>
        <v>1</v>
      </c>
      <c r="AF75" s="164">
        <f t="shared" si="23"/>
        <v>1</v>
      </c>
      <c r="AG75" s="164">
        <f t="shared" si="23"/>
        <v>1</v>
      </c>
      <c r="AH75" s="164">
        <f t="shared" si="23"/>
        <v>1</v>
      </c>
      <c r="AI75" s="164">
        <f t="shared" si="23"/>
        <v>1</v>
      </c>
      <c r="AJ75" s="164">
        <f t="shared" si="23"/>
        <v>1</v>
      </c>
      <c r="AK75" s="164">
        <f t="shared" si="23"/>
        <v>1</v>
      </c>
      <c r="AL75" s="164">
        <f t="shared" si="23"/>
        <v>1</v>
      </c>
      <c r="AM75" s="164">
        <f t="shared" si="23"/>
        <v>1</v>
      </c>
      <c r="AN75" s="164">
        <f t="shared" si="23"/>
        <v>1</v>
      </c>
      <c r="AO75" s="164">
        <f t="shared" si="23"/>
        <v>1</v>
      </c>
      <c r="AP75" s="164">
        <f t="shared" si="23"/>
        <v>1</v>
      </c>
      <c r="AQ75" s="164">
        <f t="shared" si="23"/>
        <v>1</v>
      </c>
      <c r="AR75" s="164">
        <f t="shared" si="23"/>
        <v>1</v>
      </c>
      <c r="AS75" s="164">
        <f t="shared" si="23"/>
        <v>1</v>
      </c>
      <c r="AT75" s="164">
        <f t="shared" si="23"/>
        <v>1</v>
      </c>
      <c r="AU75" s="164">
        <f t="shared" si="23"/>
        <v>1</v>
      </c>
      <c r="AV75" s="164">
        <f t="shared" si="23"/>
        <v>1</v>
      </c>
      <c r="AW75" s="164">
        <f t="shared" si="23"/>
        <v>1</v>
      </c>
      <c r="AX75" s="164">
        <f t="shared" si="23"/>
        <v>1</v>
      </c>
      <c r="AY75" s="164">
        <f t="shared" si="23"/>
        <v>1</v>
      </c>
      <c r="AZ75" s="164">
        <f t="shared" si="23"/>
        <v>1</v>
      </c>
      <c r="BA75" s="164">
        <f t="shared" ref="BA75:BQ75" si="24">IF(AND(BA70=1,AZ70=1),AZ75+1,1)</f>
        <v>1</v>
      </c>
      <c r="BB75" s="164">
        <f t="shared" si="24"/>
        <v>1</v>
      </c>
      <c r="BC75" s="164">
        <f t="shared" si="24"/>
        <v>1</v>
      </c>
      <c r="BD75" s="164">
        <f t="shared" si="24"/>
        <v>1</v>
      </c>
      <c r="BE75" s="164">
        <f t="shared" si="24"/>
        <v>1</v>
      </c>
      <c r="BF75" s="164">
        <f t="shared" si="24"/>
        <v>1</v>
      </c>
      <c r="BG75" s="164">
        <f t="shared" si="24"/>
        <v>1</v>
      </c>
      <c r="BH75" s="164">
        <f t="shared" si="24"/>
        <v>1</v>
      </c>
      <c r="BI75" s="164">
        <f t="shared" si="24"/>
        <v>1</v>
      </c>
      <c r="BJ75" s="164">
        <f t="shared" si="24"/>
        <v>1</v>
      </c>
      <c r="BK75" s="164">
        <f t="shared" si="24"/>
        <v>1</v>
      </c>
      <c r="BL75" s="164">
        <f t="shared" si="24"/>
        <v>1</v>
      </c>
      <c r="BM75" s="164">
        <f t="shared" si="24"/>
        <v>1</v>
      </c>
      <c r="BN75" s="164">
        <f t="shared" si="24"/>
        <v>1</v>
      </c>
      <c r="BO75" s="164">
        <f t="shared" si="24"/>
        <v>1</v>
      </c>
      <c r="BP75" s="164">
        <f t="shared" si="24"/>
        <v>1</v>
      </c>
      <c r="BQ75" s="164">
        <f t="shared" si="24"/>
        <v>1</v>
      </c>
      <c r="BR75" s="88"/>
      <c r="BS75" s="88"/>
      <c r="BT75" s="88"/>
      <c r="BU75" s="88"/>
      <c r="BV75" s="143"/>
      <c r="BW75" s="12"/>
    </row>
    <row r="76" spans="16:75" x14ac:dyDescent="0.25">
      <c r="P76" s="68"/>
      <c r="Q76" s="168"/>
      <c r="R76" s="164"/>
      <c r="S76" s="164" t="s">
        <v>90</v>
      </c>
      <c r="T76" s="164">
        <f>IF(T71=1,1,0)</f>
        <v>1</v>
      </c>
      <c r="U76" s="164">
        <f t="shared" ref="U76:AZ76" si="25">IF(AND(U71=1,T71=1),T76+1,1)</f>
        <v>1</v>
      </c>
      <c r="V76" s="164">
        <f t="shared" si="25"/>
        <v>1</v>
      </c>
      <c r="W76" s="164">
        <f t="shared" si="25"/>
        <v>1</v>
      </c>
      <c r="X76" s="164">
        <f t="shared" si="25"/>
        <v>1</v>
      </c>
      <c r="Y76" s="164">
        <f t="shared" si="25"/>
        <v>1</v>
      </c>
      <c r="Z76" s="164">
        <f t="shared" si="25"/>
        <v>1</v>
      </c>
      <c r="AA76" s="164">
        <f t="shared" si="25"/>
        <v>1</v>
      </c>
      <c r="AB76" s="164">
        <f t="shared" si="25"/>
        <v>1</v>
      </c>
      <c r="AC76" s="164">
        <f t="shared" si="25"/>
        <v>1</v>
      </c>
      <c r="AD76" s="164">
        <f t="shared" si="25"/>
        <v>1</v>
      </c>
      <c r="AE76" s="164">
        <f t="shared" si="25"/>
        <v>1</v>
      </c>
      <c r="AF76" s="164">
        <f t="shared" si="25"/>
        <v>1</v>
      </c>
      <c r="AG76" s="164">
        <f t="shared" si="25"/>
        <v>1</v>
      </c>
      <c r="AH76" s="164">
        <f t="shared" si="25"/>
        <v>1</v>
      </c>
      <c r="AI76" s="164">
        <f t="shared" si="25"/>
        <v>1</v>
      </c>
      <c r="AJ76" s="164">
        <f t="shared" si="25"/>
        <v>1</v>
      </c>
      <c r="AK76" s="164">
        <f t="shared" si="25"/>
        <v>1</v>
      </c>
      <c r="AL76" s="164">
        <f t="shared" si="25"/>
        <v>1</v>
      </c>
      <c r="AM76" s="164">
        <f t="shared" si="25"/>
        <v>1</v>
      </c>
      <c r="AN76" s="164">
        <f t="shared" si="25"/>
        <v>1</v>
      </c>
      <c r="AO76" s="164">
        <f t="shared" si="25"/>
        <v>1</v>
      </c>
      <c r="AP76" s="164">
        <f t="shared" si="25"/>
        <v>1</v>
      </c>
      <c r="AQ76" s="164">
        <f t="shared" si="25"/>
        <v>1</v>
      </c>
      <c r="AR76" s="164">
        <f t="shared" si="25"/>
        <v>1</v>
      </c>
      <c r="AS76" s="164">
        <f t="shared" si="25"/>
        <v>2</v>
      </c>
      <c r="AT76" s="164">
        <f t="shared" si="25"/>
        <v>1</v>
      </c>
      <c r="AU76" s="164">
        <f t="shared" si="25"/>
        <v>1</v>
      </c>
      <c r="AV76" s="164">
        <f t="shared" si="25"/>
        <v>1</v>
      </c>
      <c r="AW76" s="164">
        <f t="shared" si="25"/>
        <v>1</v>
      </c>
      <c r="AX76" s="164">
        <f t="shared" si="25"/>
        <v>1</v>
      </c>
      <c r="AY76" s="164">
        <f t="shared" si="25"/>
        <v>1</v>
      </c>
      <c r="AZ76" s="164">
        <f t="shared" si="25"/>
        <v>1</v>
      </c>
      <c r="BA76" s="164">
        <f t="shared" ref="BA76:BQ76" si="26">IF(AND(BA71=1,AZ71=1),AZ76+1,1)</f>
        <v>1</v>
      </c>
      <c r="BB76" s="164">
        <f t="shared" si="26"/>
        <v>1</v>
      </c>
      <c r="BC76" s="164">
        <f t="shared" si="26"/>
        <v>1</v>
      </c>
      <c r="BD76" s="164">
        <f t="shared" si="26"/>
        <v>1</v>
      </c>
      <c r="BE76" s="164">
        <f t="shared" si="26"/>
        <v>1</v>
      </c>
      <c r="BF76" s="164">
        <f t="shared" si="26"/>
        <v>1</v>
      </c>
      <c r="BG76" s="164">
        <f t="shared" si="26"/>
        <v>1</v>
      </c>
      <c r="BH76" s="164">
        <f t="shared" si="26"/>
        <v>1</v>
      </c>
      <c r="BI76" s="164">
        <f t="shared" si="26"/>
        <v>1</v>
      </c>
      <c r="BJ76" s="164">
        <f t="shared" si="26"/>
        <v>1</v>
      </c>
      <c r="BK76" s="164">
        <f t="shared" si="26"/>
        <v>1</v>
      </c>
      <c r="BL76" s="164">
        <f t="shared" si="26"/>
        <v>1</v>
      </c>
      <c r="BM76" s="164">
        <f t="shared" si="26"/>
        <v>1</v>
      </c>
      <c r="BN76" s="164">
        <f t="shared" si="26"/>
        <v>1</v>
      </c>
      <c r="BO76" s="164">
        <f t="shared" si="26"/>
        <v>1</v>
      </c>
      <c r="BP76" s="164">
        <f t="shared" si="26"/>
        <v>1</v>
      </c>
      <c r="BQ76" s="164">
        <f t="shared" si="26"/>
        <v>1</v>
      </c>
      <c r="BR76" s="88"/>
      <c r="BS76" s="88"/>
      <c r="BT76" s="88"/>
      <c r="BU76" s="88"/>
      <c r="BV76" s="143"/>
      <c r="BW76" s="12"/>
    </row>
    <row r="77" spans="16:75" x14ac:dyDescent="0.25">
      <c r="P77" s="68"/>
      <c r="Q77" s="168"/>
      <c r="R77" s="164"/>
      <c r="S77" s="164" t="s">
        <v>91</v>
      </c>
      <c r="T77" s="164">
        <f>IF(T72=1,1,0)</f>
        <v>1</v>
      </c>
      <c r="U77" s="164">
        <f t="shared" ref="U77:AZ77" si="27">IF(AND(U72=1,T72=1),T77+1,1)</f>
        <v>1</v>
      </c>
      <c r="V77" s="164">
        <f t="shared" si="27"/>
        <v>1</v>
      </c>
      <c r="W77" s="164">
        <f t="shared" si="27"/>
        <v>1</v>
      </c>
      <c r="X77" s="164">
        <f t="shared" si="27"/>
        <v>2</v>
      </c>
      <c r="Y77" s="164">
        <f t="shared" si="27"/>
        <v>1</v>
      </c>
      <c r="Z77" s="164">
        <f t="shared" si="27"/>
        <v>1</v>
      </c>
      <c r="AA77" s="164">
        <f t="shared" si="27"/>
        <v>1</v>
      </c>
      <c r="AB77" s="164">
        <f t="shared" si="27"/>
        <v>2</v>
      </c>
      <c r="AC77" s="164">
        <f t="shared" si="27"/>
        <v>1</v>
      </c>
      <c r="AD77" s="164">
        <f t="shared" si="27"/>
        <v>1</v>
      </c>
      <c r="AE77" s="164">
        <f t="shared" si="27"/>
        <v>1</v>
      </c>
      <c r="AF77" s="164">
        <f t="shared" si="27"/>
        <v>2</v>
      </c>
      <c r="AG77" s="164">
        <f t="shared" si="27"/>
        <v>1</v>
      </c>
      <c r="AH77" s="164">
        <f t="shared" si="27"/>
        <v>1</v>
      </c>
      <c r="AI77" s="164">
        <f t="shared" si="27"/>
        <v>1</v>
      </c>
      <c r="AJ77" s="164">
        <f t="shared" si="27"/>
        <v>2</v>
      </c>
      <c r="AK77" s="164">
        <f t="shared" si="27"/>
        <v>1</v>
      </c>
      <c r="AL77" s="164">
        <f t="shared" si="27"/>
        <v>1</v>
      </c>
      <c r="AM77" s="164">
        <f t="shared" si="27"/>
        <v>1</v>
      </c>
      <c r="AN77" s="164">
        <f t="shared" si="27"/>
        <v>2</v>
      </c>
      <c r="AO77" s="164">
        <f t="shared" si="27"/>
        <v>1</v>
      </c>
      <c r="AP77" s="164">
        <f t="shared" si="27"/>
        <v>1</v>
      </c>
      <c r="AQ77" s="164">
        <f t="shared" si="27"/>
        <v>1</v>
      </c>
      <c r="AR77" s="164">
        <f t="shared" si="27"/>
        <v>2</v>
      </c>
      <c r="AS77" s="164">
        <f t="shared" si="27"/>
        <v>1</v>
      </c>
      <c r="AT77" s="164">
        <f t="shared" si="27"/>
        <v>1</v>
      </c>
      <c r="AU77" s="164">
        <f t="shared" si="27"/>
        <v>2</v>
      </c>
      <c r="AV77" s="164">
        <f t="shared" si="27"/>
        <v>1</v>
      </c>
      <c r="AW77" s="164">
        <f t="shared" si="27"/>
        <v>1</v>
      </c>
      <c r="AX77" s="164">
        <f t="shared" si="27"/>
        <v>1</v>
      </c>
      <c r="AY77" s="164">
        <f t="shared" si="27"/>
        <v>2</v>
      </c>
      <c r="AZ77" s="164">
        <f t="shared" si="27"/>
        <v>1</v>
      </c>
      <c r="BA77" s="164">
        <f t="shared" ref="BA77:BQ77" si="28">IF(AND(BA72=1,AZ72=1),AZ77+1,1)</f>
        <v>1</v>
      </c>
      <c r="BB77" s="164">
        <f t="shared" si="28"/>
        <v>1</v>
      </c>
      <c r="BC77" s="164">
        <f t="shared" si="28"/>
        <v>2</v>
      </c>
      <c r="BD77" s="164">
        <f t="shared" si="28"/>
        <v>1</v>
      </c>
      <c r="BE77" s="164">
        <f t="shared" si="28"/>
        <v>1</v>
      </c>
      <c r="BF77" s="164">
        <f t="shared" si="28"/>
        <v>1</v>
      </c>
      <c r="BG77" s="164">
        <f t="shared" si="28"/>
        <v>2</v>
      </c>
      <c r="BH77" s="164">
        <f t="shared" si="28"/>
        <v>1</v>
      </c>
      <c r="BI77" s="164">
        <f t="shared" si="28"/>
        <v>1</v>
      </c>
      <c r="BJ77" s="164">
        <f t="shared" si="28"/>
        <v>1</v>
      </c>
      <c r="BK77" s="164">
        <f t="shared" si="28"/>
        <v>2</v>
      </c>
      <c r="BL77" s="164">
        <f t="shared" si="28"/>
        <v>1</v>
      </c>
      <c r="BM77" s="164">
        <f t="shared" si="28"/>
        <v>1</v>
      </c>
      <c r="BN77" s="164">
        <f t="shared" si="28"/>
        <v>1</v>
      </c>
      <c r="BO77" s="164">
        <f t="shared" si="28"/>
        <v>2</v>
      </c>
      <c r="BP77" s="164">
        <f t="shared" si="28"/>
        <v>1</v>
      </c>
      <c r="BQ77" s="164">
        <f t="shared" si="28"/>
        <v>1</v>
      </c>
      <c r="BR77" s="88"/>
      <c r="BS77" s="88"/>
      <c r="BT77" s="88"/>
      <c r="BU77" s="88"/>
      <c r="BV77" s="143"/>
      <c r="BW77" s="12"/>
    </row>
    <row r="78" spans="16:75" x14ac:dyDescent="0.25">
      <c r="P78" s="68"/>
      <c r="Q78" s="168"/>
      <c r="R78" s="164"/>
      <c r="S78" s="164" t="s">
        <v>93</v>
      </c>
      <c r="T78" s="164">
        <f>IF(T73=1,1,0)</f>
        <v>0</v>
      </c>
      <c r="U78" s="164">
        <f t="shared" ref="U78:AZ78" si="29">IF(AND(U73=1,T73=1),T78+1,1)</f>
        <v>1</v>
      </c>
      <c r="V78" s="164">
        <f t="shared" si="29"/>
        <v>2</v>
      </c>
      <c r="W78" s="164">
        <f t="shared" si="29"/>
        <v>1</v>
      </c>
      <c r="X78" s="164">
        <f t="shared" si="29"/>
        <v>1</v>
      </c>
      <c r="Y78" s="164">
        <f t="shared" si="29"/>
        <v>1</v>
      </c>
      <c r="Z78" s="164">
        <f t="shared" si="29"/>
        <v>2</v>
      </c>
      <c r="AA78" s="164">
        <f t="shared" si="29"/>
        <v>1</v>
      </c>
      <c r="AB78" s="164">
        <f t="shared" si="29"/>
        <v>1</v>
      </c>
      <c r="AC78" s="164">
        <f t="shared" si="29"/>
        <v>1</v>
      </c>
      <c r="AD78" s="164">
        <f t="shared" si="29"/>
        <v>2</v>
      </c>
      <c r="AE78" s="164">
        <f t="shared" si="29"/>
        <v>1</v>
      </c>
      <c r="AF78" s="164">
        <f t="shared" si="29"/>
        <v>1</v>
      </c>
      <c r="AG78" s="164">
        <f t="shared" si="29"/>
        <v>1</v>
      </c>
      <c r="AH78" s="164">
        <f t="shared" si="29"/>
        <v>2</v>
      </c>
      <c r="AI78" s="164">
        <f t="shared" si="29"/>
        <v>1</v>
      </c>
      <c r="AJ78" s="164">
        <f t="shared" si="29"/>
        <v>1</v>
      </c>
      <c r="AK78" s="164">
        <f t="shared" si="29"/>
        <v>1</v>
      </c>
      <c r="AL78" s="164">
        <f t="shared" si="29"/>
        <v>2</v>
      </c>
      <c r="AM78" s="164">
        <f t="shared" si="29"/>
        <v>1</v>
      </c>
      <c r="AN78" s="164">
        <f t="shared" si="29"/>
        <v>1</v>
      </c>
      <c r="AO78" s="164">
        <f t="shared" si="29"/>
        <v>1</v>
      </c>
      <c r="AP78" s="164">
        <f t="shared" si="29"/>
        <v>2</v>
      </c>
      <c r="AQ78" s="164">
        <f t="shared" si="29"/>
        <v>1</v>
      </c>
      <c r="AR78" s="164">
        <f t="shared" si="29"/>
        <v>1</v>
      </c>
      <c r="AS78" s="164">
        <f t="shared" si="29"/>
        <v>1</v>
      </c>
      <c r="AT78" s="164">
        <f t="shared" si="29"/>
        <v>1</v>
      </c>
      <c r="AU78" s="164">
        <f t="shared" si="29"/>
        <v>1</v>
      </c>
      <c r="AV78" s="164">
        <f t="shared" si="29"/>
        <v>1</v>
      </c>
      <c r="AW78" s="164">
        <f t="shared" si="29"/>
        <v>2</v>
      </c>
      <c r="AX78" s="164">
        <f t="shared" si="29"/>
        <v>1</v>
      </c>
      <c r="AY78" s="164">
        <f t="shared" si="29"/>
        <v>1</v>
      </c>
      <c r="AZ78" s="164">
        <f t="shared" si="29"/>
        <v>1</v>
      </c>
      <c r="BA78" s="164">
        <f t="shared" ref="BA78:BQ78" si="30">IF(AND(BA73=1,AZ73=1),AZ78+1,1)</f>
        <v>2</v>
      </c>
      <c r="BB78" s="164">
        <f t="shared" si="30"/>
        <v>1</v>
      </c>
      <c r="BC78" s="164">
        <f t="shared" si="30"/>
        <v>1</v>
      </c>
      <c r="BD78" s="164">
        <f t="shared" si="30"/>
        <v>1</v>
      </c>
      <c r="BE78" s="164">
        <f t="shared" si="30"/>
        <v>2</v>
      </c>
      <c r="BF78" s="164">
        <f t="shared" si="30"/>
        <v>1</v>
      </c>
      <c r="BG78" s="164">
        <f t="shared" si="30"/>
        <v>1</v>
      </c>
      <c r="BH78" s="164">
        <f t="shared" si="30"/>
        <v>1</v>
      </c>
      <c r="BI78" s="164">
        <f t="shared" si="30"/>
        <v>2</v>
      </c>
      <c r="BJ78" s="164">
        <f t="shared" si="30"/>
        <v>1</v>
      </c>
      <c r="BK78" s="164">
        <f t="shared" si="30"/>
        <v>1</v>
      </c>
      <c r="BL78" s="164">
        <f t="shared" si="30"/>
        <v>1</v>
      </c>
      <c r="BM78" s="164">
        <f t="shared" si="30"/>
        <v>2</v>
      </c>
      <c r="BN78" s="164">
        <f t="shared" si="30"/>
        <v>1</v>
      </c>
      <c r="BO78" s="164">
        <f t="shared" si="30"/>
        <v>1</v>
      </c>
      <c r="BP78" s="164">
        <f t="shared" si="30"/>
        <v>1</v>
      </c>
      <c r="BQ78" s="164">
        <f t="shared" si="30"/>
        <v>1</v>
      </c>
      <c r="BR78" s="88"/>
      <c r="BS78" s="88"/>
      <c r="BT78" s="88"/>
      <c r="BU78" s="88"/>
      <c r="BV78" s="143"/>
      <c r="BW78" s="12"/>
    </row>
    <row r="79" spans="16:75" x14ac:dyDescent="0.25">
      <c r="P79" s="68"/>
      <c r="Q79" s="168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143"/>
      <c r="BW79" s="12"/>
    </row>
    <row r="80" spans="16:75" x14ac:dyDescent="0.25">
      <c r="P80" s="68"/>
      <c r="Q80" s="168"/>
      <c r="R80" s="164"/>
      <c r="S80" s="164" t="s">
        <v>96</v>
      </c>
      <c r="T80" s="164">
        <f>MAX(T75:BQ75)</f>
        <v>1</v>
      </c>
      <c r="U80" s="26" t="str">
        <f>TEXT(T80,0)</f>
        <v>1</v>
      </c>
      <c r="V80" s="164" t="s">
        <v>97</v>
      </c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143"/>
      <c r="BW80" s="12"/>
    </row>
    <row r="81" spans="16:98" x14ac:dyDescent="0.25">
      <c r="P81" s="68"/>
      <c r="Q81" s="168"/>
      <c r="R81" s="164"/>
      <c r="S81" s="164" t="s">
        <v>99</v>
      </c>
      <c r="T81" s="164">
        <f>MAX(T76:BQ76)</f>
        <v>2</v>
      </c>
      <c r="U81" s="26" t="str">
        <f>TEXT(T81,0)</f>
        <v>2</v>
      </c>
      <c r="V81" s="164" t="s">
        <v>100</v>
      </c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143"/>
      <c r="BW81" s="12"/>
    </row>
    <row r="82" spans="16:98" x14ac:dyDescent="0.25">
      <c r="P82" s="68"/>
      <c r="Q82" s="168"/>
      <c r="R82" s="164"/>
      <c r="S82" s="164" t="s">
        <v>102</v>
      </c>
      <c r="T82" s="164">
        <f>MAX(T77:BQ77)</f>
        <v>2</v>
      </c>
      <c r="U82" s="26" t="str">
        <f>TEXT(T82,0)</f>
        <v>2</v>
      </c>
      <c r="V82" s="164" t="s">
        <v>103</v>
      </c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143"/>
      <c r="BW82" s="12"/>
    </row>
    <row r="83" spans="16:98" x14ac:dyDescent="0.25">
      <c r="P83" s="68"/>
      <c r="Q83" s="168"/>
      <c r="R83" s="164"/>
      <c r="S83" s="164" t="s">
        <v>104</v>
      </c>
      <c r="T83" s="164">
        <f>MAX(T78:BQ78)</f>
        <v>2</v>
      </c>
      <c r="U83" s="26" t="str">
        <f>TEXT(T83,0)</f>
        <v>2</v>
      </c>
      <c r="V83" s="164" t="s">
        <v>105</v>
      </c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143"/>
      <c r="BW83" s="12"/>
    </row>
    <row r="84" spans="16:98" x14ac:dyDescent="0.25">
      <c r="P84" s="68"/>
      <c r="Q84" s="168"/>
      <c r="R84" s="164"/>
      <c r="S84" s="164"/>
      <c r="T84" s="164"/>
      <c r="U84" s="26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143"/>
      <c r="BW84" s="12"/>
    </row>
    <row r="85" spans="16:98" ht="13.8" thickBot="1" x14ac:dyDescent="0.3">
      <c r="P85" s="68"/>
      <c r="Q85" s="168"/>
      <c r="R85" s="164"/>
      <c r="S85" s="164"/>
      <c r="T85" s="164">
        <f>IF(Formule!$K$1=1,1,NA())</f>
        <v>1</v>
      </c>
      <c r="U85" s="164" t="e">
        <f>IF(Formule!$K$1=2,2,NA())</f>
        <v>#N/A</v>
      </c>
      <c r="V85" s="164" t="e">
        <f>IF(Formule!$K$1=3,3,NA())</f>
        <v>#N/A</v>
      </c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143"/>
      <c r="BW85" s="12"/>
    </row>
    <row r="86" spans="16:98" x14ac:dyDescent="0.25">
      <c r="P86" s="68"/>
      <c r="Q86" s="168"/>
      <c r="R86" s="164" t="s">
        <v>180</v>
      </c>
      <c r="S86" s="164" t="s">
        <v>177</v>
      </c>
      <c r="T86" s="204">
        <f>IF(ISERROR(AND($T$85,(AVERAGE(SPC!C32:C36)))),NA(),AVERAGE(SPC!C32:C36))</f>
        <v>17.223772299417032</v>
      </c>
      <c r="U86" s="205">
        <f>IF(ISERROR(AND($T$85,(AVERAGE(SPC!D32:D36)))),NA(),AVERAGE(SPC!D32:D36))</f>
        <v>17.232445480875615</v>
      </c>
      <c r="V86" s="205">
        <f>IF(ISERROR(AND($T$85,(AVERAGE(SPC!E32:E36)))),NA(),AVERAGE(SPC!E32:E36))</f>
        <v>17.222663910821439</v>
      </c>
      <c r="W86" s="205">
        <f>IF(ISERROR(AND($T$85,(AVERAGE(SPC!F32:F36)))),NA(),AVERAGE(SPC!F32:F36))</f>
        <v>17.236359515325198</v>
      </c>
      <c r="X86" s="205">
        <f>IF(ISERROR(AND($T$85,(AVERAGE(SPC!G32:G36)))),NA(),AVERAGE(SPC!G32:G36))</f>
        <v>17.223772299417032</v>
      </c>
      <c r="Y86" s="205">
        <f>IF(ISERROR(AND($T$85,(AVERAGE(SPC!H32:H36)))),NA(),AVERAGE(SPC!H32:H36))</f>
        <v>17.232445480875615</v>
      </c>
      <c r="Z86" s="205">
        <f>IF(ISERROR(AND($T$85,(AVERAGE(SPC!I32:I36)))),NA(),AVERAGE(SPC!I32:I36))</f>
        <v>17.222663910821439</v>
      </c>
      <c r="AA86" s="205">
        <f>IF(ISERROR(AND($T$85,(AVERAGE(SPC!J32:J36)))),NA(),AVERAGE(SPC!J32:J36))</f>
        <v>17.236359515325198</v>
      </c>
      <c r="AB86" s="205">
        <f>IF(ISERROR(AND($T$85,(AVERAGE(SPC!K32:K36)))),NA(),AVERAGE(SPC!K32:K36))</f>
        <v>17.223772299417032</v>
      </c>
      <c r="AC86" s="205">
        <f>IF(ISERROR(AND($T$85,(AVERAGE(SPC!L32:L36)))),NA(),AVERAGE(SPC!L32:L36))</f>
        <v>17.232445480875615</v>
      </c>
      <c r="AD86" s="205">
        <f>IF(ISERROR(AND($T$85,(AVERAGE(SPC!M32:M36)))),NA(),AVERAGE(SPC!M32:M36))</f>
        <v>17.222663910821439</v>
      </c>
      <c r="AE86" s="205">
        <f>IF(ISERROR(AND($T$85,(AVERAGE(SPC!N32:N36)))),NA(),AVERAGE(SPC!N32:N36))</f>
        <v>17.236359515325198</v>
      </c>
      <c r="AF86" s="205">
        <f>IF(ISERROR(AND($T$85,(AVERAGE(SPC!O32:O36)))),NA(),AVERAGE(SPC!O32:O36))</f>
        <v>17.223772299417032</v>
      </c>
      <c r="AG86" s="205">
        <f>IF(ISERROR(AND($T$85,(AVERAGE(SPC!P32:P36)))),NA(),AVERAGE(SPC!P32:P36))</f>
        <v>17.232445480875615</v>
      </c>
      <c r="AH86" s="205">
        <f>IF(ISERROR(AND($T$85,(AVERAGE(SPC!Q32:Q36)))),NA(),AVERAGE(SPC!Q32:Q36))</f>
        <v>17.222663910821439</v>
      </c>
      <c r="AI86" s="205">
        <f>IF(ISERROR(AND($T$85,(AVERAGE(SPC!R32:R36)))),NA(),AVERAGE(SPC!R32:R36))</f>
        <v>17.236359515325198</v>
      </c>
      <c r="AJ86" s="205">
        <f>IF(ISERROR(AND($T$85,(AVERAGE(SPC!S32:S36)))),NA(),AVERAGE(SPC!S32:S36))</f>
        <v>17.223772299417032</v>
      </c>
      <c r="AK86" s="205">
        <f>IF(ISERROR(AND($T$85,(AVERAGE(SPC!T32:T36)))),NA(),AVERAGE(SPC!T32:T36))</f>
        <v>17.232445480875615</v>
      </c>
      <c r="AL86" s="205">
        <f>IF(ISERROR(AND($T$85,(AVERAGE(SPC!U32:U36)))),NA(),AVERAGE(SPC!U32:U36))</f>
        <v>17.222663910821439</v>
      </c>
      <c r="AM86" s="205">
        <f>IF(ISERROR(AND($T$85,(AVERAGE(SPC!V32:V36)))),NA(),AVERAGE(SPC!V32:V36))</f>
        <v>17.236359515325198</v>
      </c>
      <c r="AN86" s="205">
        <f>IF(ISERROR(AND($T$85,(AVERAGE(SPC!W32:W36)))),NA(),AVERAGE(SPC!W32:W36))</f>
        <v>17.223772299417032</v>
      </c>
      <c r="AO86" s="205">
        <f>IF(ISERROR(AND($T$85,(AVERAGE(SPC!X32:X36)))),NA(),AVERAGE(SPC!X32:X36))</f>
        <v>17.232445480875615</v>
      </c>
      <c r="AP86" s="205">
        <f>IF(ISERROR(AND($T$85,(AVERAGE(SPC!Y32:Y36)))),NA(),AVERAGE(SPC!Y32:Y36))</f>
        <v>17.222663910821439</v>
      </c>
      <c r="AQ86" s="205">
        <f>IF(ISERROR(AND($T$85,(AVERAGE(SPC!Z32:Z36)))),NA(),AVERAGE(SPC!Z32:Z36))</f>
        <v>17.236359515325198</v>
      </c>
      <c r="AR86" s="205">
        <f>IF(ISERROR(AND($T$85,(AVERAGE(SPC!AA32:AA36)))),NA(),AVERAGE(SPC!AA32:AA36))</f>
        <v>17.223772299417032</v>
      </c>
      <c r="AS86" s="205">
        <f>IF(ISERROR(AND($T$85,(AVERAGE(SPC!AB32:AB36)))),NA(),AVERAGE(SPC!AB32:AB36))</f>
        <v>17.232445480875615</v>
      </c>
      <c r="AT86" s="205">
        <f>IF(ISERROR(AND($T$85,(AVERAGE(SPC!AC32:AC36)))),NA(),AVERAGE(SPC!AC32:AC36))</f>
        <v>17.222663910821439</v>
      </c>
      <c r="AU86" s="205">
        <f>IF(ISERROR(AND($T$85,(AVERAGE(SPC!AD32:AD36)))),NA(),AVERAGE(SPC!AD32:AD36))</f>
        <v>17.236359515325198</v>
      </c>
      <c r="AV86" s="205">
        <f>IF(ISERROR(AND($T$85,(AVERAGE(SPC!AE32:AE36)))),NA(),AVERAGE(SPC!AE32:AE36))</f>
        <v>17.223772299417032</v>
      </c>
      <c r="AW86" s="205">
        <f>IF(ISERROR(AND($T$85,(AVERAGE(SPC!AF32:AF36)))),NA(),AVERAGE(SPC!AF32:AF36))</f>
        <v>17.232445480875615</v>
      </c>
      <c r="AX86" s="205">
        <f>IF(ISERROR(AND($T$85,(AVERAGE(SPC!AG32:AG36)))),NA(),AVERAGE(SPC!AG32:AG36))</f>
        <v>17.222663910821439</v>
      </c>
      <c r="AY86" s="205">
        <f>IF(ISERROR(AND($T$85,(AVERAGE(SPC!AH32:AH36)))),NA(),AVERAGE(SPC!AH32:AH36))</f>
        <v>17.236359515325198</v>
      </c>
      <c r="AZ86" s="205">
        <f>IF(ISERROR(AND($T$85,(AVERAGE(SPC!AI32:AI36)))),NA(),AVERAGE(SPC!AI32:AI36))</f>
        <v>17.223772299417032</v>
      </c>
      <c r="BA86" s="205">
        <f>IF(ISERROR(AND($T$85,(AVERAGE(SPC!AJ32:AJ36)))),NA(),AVERAGE(SPC!AJ32:AJ36))</f>
        <v>17.232445480875615</v>
      </c>
      <c r="BB86" s="205">
        <f>IF(ISERROR(AND($T$85,(AVERAGE(SPC!AK32:AK36)))),NA(),AVERAGE(SPC!AK32:AK36))</f>
        <v>17.222663910821439</v>
      </c>
      <c r="BC86" s="205">
        <f>IF(ISERROR(AND($T$85,(AVERAGE(SPC!AL32:AL36)))),NA(),AVERAGE(SPC!AL32:AL36))</f>
        <v>17.236359515325198</v>
      </c>
      <c r="BD86" s="205">
        <f>IF(ISERROR(AND($T$85,(AVERAGE(SPC!AM32:AM36)))),NA(),AVERAGE(SPC!AM32:AM36))</f>
        <v>17.223772299417032</v>
      </c>
      <c r="BE86" s="205">
        <f>IF(ISERROR(AND($T$85,(AVERAGE(SPC!AN32:AN36)))),NA(),AVERAGE(SPC!AN32:AN36))</f>
        <v>17.232445480875615</v>
      </c>
      <c r="BF86" s="205">
        <f>IF(ISERROR(AND($T$85,(AVERAGE(SPC!AO32:AO36)))),NA(),AVERAGE(SPC!AO32:AO36))</f>
        <v>17.222663910821439</v>
      </c>
      <c r="BG86" s="205">
        <f>IF(ISERROR(AND($T$85,(AVERAGE(SPC!AP32:AP36)))),NA(),AVERAGE(SPC!AP32:AP36))</f>
        <v>17.236359515325198</v>
      </c>
      <c r="BH86" s="205">
        <f>IF(ISERROR(AND($T$85,(AVERAGE(SPC!AQ32:AQ36)))),NA(),AVERAGE(SPC!AQ32:AQ36))</f>
        <v>17.223772299417032</v>
      </c>
      <c r="BI86" s="205">
        <f>IF(ISERROR(AND($T$85,(AVERAGE(SPC!AR32:AR36)))),NA(),AVERAGE(SPC!AR32:AR36))</f>
        <v>17.232445480875615</v>
      </c>
      <c r="BJ86" s="205">
        <f>IF(ISERROR(AND($T$85,(AVERAGE(SPC!AS32:AS36)))),NA(),AVERAGE(SPC!AS32:AS36))</f>
        <v>17.222663910821439</v>
      </c>
      <c r="BK86" s="205">
        <f>IF(ISERROR(AND($T$85,(AVERAGE(SPC!AT32:AT36)))),NA(),AVERAGE(SPC!AT32:AT36))</f>
        <v>17.236359515325198</v>
      </c>
      <c r="BL86" s="205">
        <f>IF(ISERROR(AND($T$85,(AVERAGE(SPC!AU32:AU36)))),NA(),AVERAGE(SPC!AU32:AU36))</f>
        <v>17.223772299417032</v>
      </c>
      <c r="BM86" s="205">
        <f>IF(ISERROR(AND($T$85,(AVERAGE(SPC!AV32:AV36)))),NA(),AVERAGE(SPC!AV32:AV36))</f>
        <v>17.232445480875615</v>
      </c>
      <c r="BN86" s="205">
        <f>IF(ISERROR(AND($T$85,(AVERAGE(SPC!AW32:AW36)))),NA(),AVERAGE(SPC!AW32:AW36))</f>
        <v>17.222663910821439</v>
      </c>
      <c r="BO86" s="205">
        <f>IF(ISERROR(AND($T$85,(AVERAGE(SPC!AX32:AX36)))),NA(),AVERAGE(SPC!AX32:AX36))</f>
        <v>17.236359515325198</v>
      </c>
      <c r="BP86" s="205">
        <f>IF(ISERROR(AND($T$85,(AVERAGE(SPC!AY32:AY36)))),NA(),AVERAGE(SPC!AY32:AY36))</f>
        <v>17.223772299417032</v>
      </c>
      <c r="BQ86" s="205">
        <f>IF(ISERROR(AND($T$85,(AVERAGE(SPC!AZ32:AZ36)))),NA(),AVERAGE(SPC!AZ32:AZ36))</f>
        <v>17.232445480875615</v>
      </c>
      <c r="BR86" s="205" t="e">
        <f>IF(ISERROR(AND($T$85,(AVERAGE(P37:P41)))),NA(),AVERAGE(P37:P41))</f>
        <v>#N/A</v>
      </c>
      <c r="BS86" s="205"/>
      <c r="BT86" s="205"/>
      <c r="BU86" s="138"/>
      <c r="BV86" s="139"/>
      <c r="BW86" s="138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91"/>
    </row>
    <row r="87" spans="16:98" x14ac:dyDescent="0.25">
      <c r="P87" s="68"/>
      <c r="Q87" s="168"/>
      <c r="R87" s="88"/>
      <c r="S87" s="164" t="s">
        <v>178</v>
      </c>
      <c r="T87" s="206" t="e">
        <f t="shared" ref="T87:AY87" si="31">IF(ISERROR(AND($U$85,T88)),NA(),T88)</f>
        <v>#N/A</v>
      </c>
      <c r="U87" s="169" t="e">
        <f t="shared" si="31"/>
        <v>#N/A</v>
      </c>
      <c r="V87" s="169" t="e">
        <f t="shared" si="31"/>
        <v>#N/A</v>
      </c>
      <c r="W87" s="169" t="e">
        <f t="shared" si="31"/>
        <v>#N/A</v>
      </c>
      <c r="X87" s="169" t="e">
        <f t="shared" si="31"/>
        <v>#N/A</v>
      </c>
      <c r="Y87" s="169" t="e">
        <f t="shared" si="31"/>
        <v>#N/A</v>
      </c>
      <c r="Z87" s="169" t="e">
        <f t="shared" si="31"/>
        <v>#N/A</v>
      </c>
      <c r="AA87" s="169" t="e">
        <f t="shared" si="31"/>
        <v>#N/A</v>
      </c>
      <c r="AB87" s="169" t="e">
        <f t="shared" si="31"/>
        <v>#N/A</v>
      </c>
      <c r="AC87" s="169" t="e">
        <f t="shared" si="31"/>
        <v>#N/A</v>
      </c>
      <c r="AD87" s="169" t="e">
        <f t="shared" si="31"/>
        <v>#N/A</v>
      </c>
      <c r="AE87" s="169" t="e">
        <f t="shared" si="31"/>
        <v>#N/A</v>
      </c>
      <c r="AF87" s="169" t="e">
        <f t="shared" si="31"/>
        <v>#N/A</v>
      </c>
      <c r="AG87" s="169" t="e">
        <f t="shared" si="31"/>
        <v>#N/A</v>
      </c>
      <c r="AH87" s="169" t="e">
        <f t="shared" si="31"/>
        <v>#N/A</v>
      </c>
      <c r="AI87" s="169" t="e">
        <f t="shared" si="31"/>
        <v>#N/A</v>
      </c>
      <c r="AJ87" s="169" t="e">
        <f t="shared" si="31"/>
        <v>#N/A</v>
      </c>
      <c r="AK87" s="169" t="e">
        <f t="shared" si="31"/>
        <v>#N/A</v>
      </c>
      <c r="AL87" s="169" t="e">
        <f t="shared" si="31"/>
        <v>#N/A</v>
      </c>
      <c r="AM87" s="169" t="e">
        <f t="shared" si="31"/>
        <v>#N/A</v>
      </c>
      <c r="AN87" s="169" t="e">
        <f t="shared" si="31"/>
        <v>#N/A</v>
      </c>
      <c r="AO87" s="169" t="e">
        <f t="shared" si="31"/>
        <v>#N/A</v>
      </c>
      <c r="AP87" s="169" t="e">
        <f t="shared" si="31"/>
        <v>#N/A</v>
      </c>
      <c r="AQ87" s="169" t="e">
        <f t="shared" si="31"/>
        <v>#N/A</v>
      </c>
      <c r="AR87" s="169" t="e">
        <f t="shared" si="31"/>
        <v>#N/A</v>
      </c>
      <c r="AS87" s="169" t="e">
        <f t="shared" si="31"/>
        <v>#N/A</v>
      </c>
      <c r="AT87" s="169" t="e">
        <f t="shared" si="31"/>
        <v>#N/A</v>
      </c>
      <c r="AU87" s="169" t="e">
        <f t="shared" si="31"/>
        <v>#N/A</v>
      </c>
      <c r="AV87" s="169" t="e">
        <f t="shared" si="31"/>
        <v>#N/A</v>
      </c>
      <c r="AW87" s="169" t="e">
        <f t="shared" si="31"/>
        <v>#N/A</v>
      </c>
      <c r="AX87" s="169" t="e">
        <f t="shared" si="31"/>
        <v>#N/A</v>
      </c>
      <c r="AY87" s="169" t="e">
        <f t="shared" si="31"/>
        <v>#N/A</v>
      </c>
      <c r="AZ87" s="169" t="e">
        <f t="shared" ref="AZ87:BR87" si="32">IF(ISERROR(AND($U$85,AZ88)),NA(),AZ88)</f>
        <v>#N/A</v>
      </c>
      <c r="BA87" s="169" t="e">
        <f t="shared" si="32"/>
        <v>#N/A</v>
      </c>
      <c r="BB87" s="169" t="e">
        <f t="shared" si="32"/>
        <v>#N/A</v>
      </c>
      <c r="BC87" s="169" t="e">
        <f t="shared" si="32"/>
        <v>#N/A</v>
      </c>
      <c r="BD87" s="169" t="e">
        <f t="shared" si="32"/>
        <v>#N/A</v>
      </c>
      <c r="BE87" s="169" t="e">
        <f t="shared" si="32"/>
        <v>#N/A</v>
      </c>
      <c r="BF87" s="169" t="e">
        <f t="shared" si="32"/>
        <v>#N/A</v>
      </c>
      <c r="BG87" s="169" t="e">
        <f t="shared" si="32"/>
        <v>#N/A</v>
      </c>
      <c r="BH87" s="169" t="e">
        <f t="shared" si="32"/>
        <v>#N/A</v>
      </c>
      <c r="BI87" s="169" t="e">
        <f t="shared" si="32"/>
        <v>#N/A</v>
      </c>
      <c r="BJ87" s="169" t="e">
        <f t="shared" si="32"/>
        <v>#N/A</v>
      </c>
      <c r="BK87" s="169" t="e">
        <f t="shared" si="32"/>
        <v>#N/A</v>
      </c>
      <c r="BL87" s="169" t="e">
        <f t="shared" si="32"/>
        <v>#N/A</v>
      </c>
      <c r="BM87" s="169" t="e">
        <f t="shared" si="32"/>
        <v>#N/A</v>
      </c>
      <c r="BN87" s="169" t="e">
        <f t="shared" si="32"/>
        <v>#N/A</v>
      </c>
      <c r="BO87" s="169" t="e">
        <f t="shared" si="32"/>
        <v>#N/A</v>
      </c>
      <c r="BP87" s="169" t="e">
        <f t="shared" si="32"/>
        <v>#N/A</v>
      </c>
      <c r="BQ87" s="169" t="e">
        <f t="shared" si="32"/>
        <v>#N/A</v>
      </c>
      <c r="BR87" s="169" t="e">
        <f t="shared" si="32"/>
        <v>#N/A</v>
      </c>
      <c r="BS87" s="169"/>
      <c r="BT87" s="169"/>
      <c r="BU87" s="88"/>
      <c r="BV87" s="143"/>
      <c r="BW87" s="88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149"/>
    </row>
    <row r="88" spans="16:98" x14ac:dyDescent="0.25">
      <c r="P88" s="68"/>
      <c r="Q88" s="168"/>
      <c r="R88" s="88"/>
      <c r="S88" s="88"/>
      <c r="T88" s="144">
        <f>IF(SPC!C32="",NA(),SPC!C32)</f>
        <v>17.220028664169543</v>
      </c>
      <c r="U88" s="88">
        <f>IF(SPC!D32="",NA(),SPC!D32)</f>
        <v>17.240653196154813</v>
      </c>
      <c r="V88" s="88">
        <f>IF(SPC!E32="",NA(),SPC!E32)</f>
        <v>17.232388684200718</v>
      </c>
      <c r="W88" s="88">
        <f>IF(SPC!F32="",NA(),SPC!F32)</f>
        <v>17.228710381748794</v>
      </c>
      <c r="X88" s="88">
        <f>IF(SPC!G32="",NA(),SPC!G32)</f>
        <v>17.220028664169543</v>
      </c>
      <c r="Y88" s="88">
        <f>IF(SPC!H32="",NA(),SPC!H32)</f>
        <v>17.240653196154813</v>
      </c>
      <c r="Z88" s="88">
        <f>IF(SPC!I32="",NA(),SPC!I32)</f>
        <v>17.232388684200718</v>
      </c>
      <c r="AA88" s="88">
        <f>IF(SPC!J32="",NA(),SPC!J32)</f>
        <v>17.228710381748794</v>
      </c>
      <c r="AB88" s="88">
        <f>IF(SPC!K32="",NA(),SPC!K32)</f>
        <v>17.220028664169543</v>
      </c>
      <c r="AC88" s="88">
        <f>IF(SPC!L32="",NA(),SPC!L32)</f>
        <v>17.240653196154813</v>
      </c>
      <c r="AD88" s="88">
        <f>IF(SPC!M32="",NA(),SPC!M32)</f>
        <v>17.232388684200718</v>
      </c>
      <c r="AE88" s="88">
        <f>IF(SPC!N32="",NA(),SPC!N32)</f>
        <v>17.228710381748794</v>
      </c>
      <c r="AF88" s="88">
        <f>IF(SPC!O32="",NA(),SPC!O32)</f>
        <v>17.220028664169543</v>
      </c>
      <c r="AG88" s="88">
        <f>IF(SPC!P32="",NA(),SPC!P32)</f>
        <v>17.240653196154813</v>
      </c>
      <c r="AH88" s="88">
        <f>IF(SPC!Q32="",NA(),SPC!Q32)</f>
        <v>17.232388684200718</v>
      </c>
      <c r="AI88" s="88">
        <f>IF(SPC!R32="",NA(),SPC!R32)</f>
        <v>17.228710381748794</v>
      </c>
      <c r="AJ88" s="88">
        <f>IF(SPC!S32="",NA(),SPC!S32)</f>
        <v>17.220028664169543</v>
      </c>
      <c r="AK88" s="88">
        <f>IF(SPC!T32="",NA(),SPC!T32)</f>
        <v>17.240653196154813</v>
      </c>
      <c r="AL88" s="88">
        <f>IF(SPC!U32="",NA(),SPC!U32)</f>
        <v>17.232388684200718</v>
      </c>
      <c r="AM88" s="88">
        <f>IF(SPC!V32="",NA(),SPC!V32)</f>
        <v>17.228710381748794</v>
      </c>
      <c r="AN88" s="88">
        <f>IF(SPC!W32="",NA(),SPC!W32)</f>
        <v>17.220028664169543</v>
      </c>
      <c r="AO88" s="88">
        <f>IF(SPC!X32="",NA(),SPC!X32)</f>
        <v>17.240653196154813</v>
      </c>
      <c r="AP88" s="88">
        <f>IF(SPC!Y32="",NA(),SPC!Y32)</f>
        <v>17.232388684200718</v>
      </c>
      <c r="AQ88" s="88">
        <f>IF(SPC!Z32="",NA(),SPC!Z32)</f>
        <v>17.228710381748794</v>
      </c>
      <c r="AR88" s="88">
        <f>IF(SPC!AA32="",NA(),SPC!AA32)</f>
        <v>17.220028664169543</v>
      </c>
      <c r="AS88" s="88">
        <f>IF(SPC!AB32="",NA(),SPC!AB32)</f>
        <v>17.240653196154813</v>
      </c>
      <c r="AT88" s="88">
        <f>IF(SPC!AC32="",NA(),SPC!AC32)</f>
        <v>17.232388684200718</v>
      </c>
      <c r="AU88" s="88">
        <f>IF(SPC!AD32="",NA(),SPC!AD32)</f>
        <v>17.228710381748794</v>
      </c>
      <c r="AV88" s="88">
        <f>IF(SPC!AE32="",NA(),SPC!AE32)</f>
        <v>17.220028664169543</v>
      </c>
      <c r="AW88" s="88">
        <f>IF(SPC!AF32="",NA(),SPC!AF32)</f>
        <v>17.240653196154813</v>
      </c>
      <c r="AX88" s="88">
        <f>IF(SPC!AG32="",NA(),SPC!AG32)</f>
        <v>17.232388684200718</v>
      </c>
      <c r="AY88" s="88">
        <f>IF(SPC!AH32="",NA(),SPC!AH32)</f>
        <v>17.228710381748794</v>
      </c>
      <c r="AZ88" s="88">
        <f>IF(SPC!AI32="",NA(),SPC!AI32)</f>
        <v>17.220028664169543</v>
      </c>
      <c r="BA88" s="88">
        <f>IF(SPC!AJ32="",NA(),SPC!AJ32)</f>
        <v>17.240653196154813</v>
      </c>
      <c r="BB88" s="88">
        <f>IF(SPC!AK32="",NA(),SPC!AK32)</f>
        <v>17.232388684200718</v>
      </c>
      <c r="BC88" s="88">
        <f>IF(SPC!AL32="",NA(),SPC!AL32)</f>
        <v>17.228710381748794</v>
      </c>
      <c r="BD88" s="88">
        <f>IF(SPC!AM32="",NA(),SPC!AM32)</f>
        <v>17.220028664169543</v>
      </c>
      <c r="BE88" s="88">
        <f>IF(SPC!AN32="",NA(),SPC!AN32)</f>
        <v>17.240653196154813</v>
      </c>
      <c r="BF88" s="88">
        <f>IF(SPC!AO32="",NA(),SPC!AO32)</f>
        <v>17.232388684200718</v>
      </c>
      <c r="BG88" s="88">
        <f>IF(SPC!AP32="",NA(),SPC!AP32)</f>
        <v>17.228710381748794</v>
      </c>
      <c r="BH88" s="88">
        <f>IF(SPC!AQ32="",NA(),SPC!AQ32)</f>
        <v>17.220028664169543</v>
      </c>
      <c r="BI88" s="88">
        <f>IF(SPC!AR32="",NA(),SPC!AR32)</f>
        <v>17.240653196154813</v>
      </c>
      <c r="BJ88" s="88">
        <f>IF(SPC!AS32="",NA(),SPC!AS32)</f>
        <v>17.232388684200718</v>
      </c>
      <c r="BK88" s="88">
        <f>IF(SPC!AT32="",NA(),SPC!AT32)</f>
        <v>17.228710381748794</v>
      </c>
      <c r="BL88" s="88">
        <f>IF(SPC!AU32="",NA(),SPC!AU32)</f>
        <v>17.220028664169543</v>
      </c>
      <c r="BM88" s="88">
        <f>IF(SPC!AV32="",NA(),SPC!AV32)</f>
        <v>17.240653196154813</v>
      </c>
      <c r="BN88" s="88">
        <f>IF(SPC!AW32="",NA(),SPC!AW32)</f>
        <v>17.232388684200718</v>
      </c>
      <c r="BO88" s="88">
        <f>IF(SPC!AX32="",NA(),SPC!AX32)</f>
        <v>17.228710381748794</v>
      </c>
      <c r="BP88" s="88">
        <f>IF(SPC!AY32="",NA(),SPC!AY32)</f>
        <v>17.220028664169543</v>
      </c>
      <c r="BQ88" s="88">
        <f>IF(SPC!AZ32="",NA(),SPC!AZ32)</f>
        <v>17.240653196154813</v>
      </c>
      <c r="BR88" s="88" t="e">
        <f>IF(P37="",NA(),P37)</f>
        <v>#N/A</v>
      </c>
      <c r="BS88" s="88"/>
      <c r="BT88" s="88"/>
      <c r="BU88" s="88"/>
      <c r="BV88" s="143"/>
      <c r="BW88" s="88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149"/>
    </row>
    <row r="89" spans="16:98" x14ac:dyDescent="0.25">
      <c r="P89" s="10"/>
      <c r="Q89" s="168"/>
      <c r="R89" s="88"/>
      <c r="S89" s="164" t="s">
        <v>179</v>
      </c>
      <c r="T89" s="206" t="e">
        <f>IF(ISERROR(AND($V$85,MEDIAN(SPC!C32:C36))),NA(),MEDIAN(SPC!C32:C36))</f>
        <v>#N/A</v>
      </c>
      <c r="U89" s="169" t="e">
        <f>IF(ISERROR(AND($V$85,MEDIAN(SPC!D32:D36))),NA(),MEDIAN(SPC!D32:D36))</f>
        <v>#N/A</v>
      </c>
      <c r="V89" s="169" t="e">
        <f>IF(ISERROR(AND($V$85,MEDIAN(SPC!E32:E36))),NA(),MEDIAN(SPC!E32:E36))</f>
        <v>#N/A</v>
      </c>
      <c r="W89" s="169" t="e">
        <f>IF(ISERROR(AND($V$85,MEDIAN(SPC!F32:F36))),NA(),MEDIAN(SPC!F32:F36))</f>
        <v>#N/A</v>
      </c>
      <c r="X89" s="169" t="e">
        <f>IF(ISERROR(AND($V$85,MEDIAN(SPC!G32:G36))),NA(),MEDIAN(SPC!G32:G36))</f>
        <v>#N/A</v>
      </c>
      <c r="Y89" s="169" t="e">
        <f>IF(ISERROR(AND($V$85,MEDIAN(SPC!H32:H36))),NA(),MEDIAN(SPC!H32:H36))</f>
        <v>#N/A</v>
      </c>
      <c r="Z89" s="169" t="e">
        <f>IF(ISERROR(AND($V$85,MEDIAN(SPC!I32:I36))),NA(),MEDIAN(SPC!I32:I36))</f>
        <v>#N/A</v>
      </c>
      <c r="AA89" s="169" t="e">
        <f>IF(ISERROR(AND($V$85,MEDIAN(SPC!J32:J36))),NA(),MEDIAN(SPC!J32:J36))</f>
        <v>#N/A</v>
      </c>
      <c r="AB89" s="169" t="e">
        <f>IF(ISERROR(AND($V$85,MEDIAN(SPC!K32:K36))),NA(),MEDIAN(SPC!K32:K36))</f>
        <v>#N/A</v>
      </c>
      <c r="AC89" s="169" t="e">
        <f>IF(ISERROR(AND($V$85,MEDIAN(SPC!L32:L36))),NA(),MEDIAN(SPC!L32:L36))</f>
        <v>#N/A</v>
      </c>
      <c r="AD89" s="169" t="e">
        <f>IF(ISERROR(AND($V$85,MEDIAN(SPC!M32:M36))),NA(),MEDIAN(SPC!M32:M36))</f>
        <v>#N/A</v>
      </c>
      <c r="AE89" s="169" t="e">
        <f>IF(ISERROR(AND($V$85,MEDIAN(SPC!N32:N36))),NA(),MEDIAN(SPC!N32:N36))</f>
        <v>#N/A</v>
      </c>
      <c r="AF89" s="169" t="e">
        <f>IF(ISERROR(AND($V$85,MEDIAN(SPC!O32:O36))),NA(),MEDIAN(SPC!O32:O36))</f>
        <v>#N/A</v>
      </c>
      <c r="AG89" s="169" t="e">
        <f>IF(ISERROR(AND($V$85,MEDIAN(SPC!P32:P36))),NA(),MEDIAN(SPC!P32:P36))</f>
        <v>#N/A</v>
      </c>
      <c r="AH89" s="169" t="e">
        <f>IF(ISERROR(AND($V$85,MEDIAN(SPC!Q32:Q36))),NA(),MEDIAN(SPC!Q32:Q36))</f>
        <v>#N/A</v>
      </c>
      <c r="AI89" s="169" t="e">
        <f>IF(ISERROR(AND($V$85,MEDIAN(SPC!R32:R36))),NA(),MEDIAN(SPC!R32:R36))</f>
        <v>#N/A</v>
      </c>
      <c r="AJ89" s="169" t="e">
        <f>IF(ISERROR(AND($V$85,MEDIAN(SPC!S32:S36))),NA(),MEDIAN(SPC!S32:S36))</f>
        <v>#N/A</v>
      </c>
      <c r="AK89" s="169" t="e">
        <f>IF(ISERROR(AND($V$85,MEDIAN(SPC!T32:T36))),NA(),MEDIAN(SPC!T32:T36))</f>
        <v>#N/A</v>
      </c>
      <c r="AL89" s="169" t="e">
        <f>IF(ISERROR(AND($V$85,MEDIAN(SPC!U32:U36))),NA(),MEDIAN(SPC!U32:U36))</f>
        <v>#N/A</v>
      </c>
      <c r="AM89" s="169" t="e">
        <f>IF(ISERROR(AND($V$85,MEDIAN(SPC!V32:V36))),NA(),MEDIAN(SPC!V32:V36))</f>
        <v>#N/A</v>
      </c>
      <c r="AN89" s="169" t="e">
        <f>IF(ISERROR(AND($V$85,MEDIAN(SPC!W32:W36))),NA(),MEDIAN(SPC!W32:W36))</f>
        <v>#N/A</v>
      </c>
      <c r="AO89" s="169" t="e">
        <f>IF(ISERROR(AND($V$85,MEDIAN(SPC!X32:X36))),NA(),MEDIAN(SPC!X32:X36))</f>
        <v>#N/A</v>
      </c>
      <c r="AP89" s="169" t="e">
        <f>IF(ISERROR(AND($V$85,MEDIAN(SPC!Y32:Y36))),NA(),MEDIAN(SPC!Y32:Y36))</f>
        <v>#N/A</v>
      </c>
      <c r="AQ89" s="169" t="e">
        <f>IF(ISERROR(AND($V$85,MEDIAN(SPC!Z32:Z36))),NA(),MEDIAN(SPC!Z32:Z36))</f>
        <v>#N/A</v>
      </c>
      <c r="AR89" s="169" t="e">
        <f>IF(ISERROR(AND($V$85,MEDIAN(SPC!AA32:AA36))),NA(),MEDIAN(SPC!AA32:AA36))</f>
        <v>#N/A</v>
      </c>
      <c r="AS89" s="169" t="e">
        <f>IF(ISERROR(AND($V$85,MEDIAN(SPC!AB32:AB36))),NA(),MEDIAN(SPC!AB32:AB36))</f>
        <v>#N/A</v>
      </c>
      <c r="AT89" s="169" t="e">
        <f>IF(ISERROR(AND($V$85,MEDIAN(SPC!AC32:AC36))),NA(),MEDIAN(SPC!AC32:AC36))</f>
        <v>#N/A</v>
      </c>
      <c r="AU89" s="169" t="e">
        <f>IF(ISERROR(AND($V$85,MEDIAN(SPC!AD32:AD36))),NA(),MEDIAN(SPC!AD32:AD36))</f>
        <v>#N/A</v>
      </c>
      <c r="AV89" s="169" t="e">
        <f>IF(ISERROR(AND($V$85,MEDIAN(SPC!AE32:AE36))),NA(),MEDIAN(SPC!AE32:AE36))</f>
        <v>#N/A</v>
      </c>
      <c r="AW89" s="169" t="e">
        <f>IF(ISERROR(AND($V$85,MEDIAN(SPC!AF32:AF36))),NA(),MEDIAN(SPC!AF32:AF36))</f>
        <v>#N/A</v>
      </c>
      <c r="AX89" s="169" t="e">
        <f>IF(ISERROR(AND($V$85,MEDIAN(SPC!AG32:AG36))),NA(),MEDIAN(SPC!AG32:AG36))</f>
        <v>#N/A</v>
      </c>
      <c r="AY89" s="169" t="e">
        <f>IF(ISERROR(AND($V$85,MEDIAN(SPC!AH32:AH36))),NA(),MEDIAN(SPC!AH32:AH36))</f>
        <v>#N/A</v>
      </c>
      <c r="AZ89" s="169" t="e">
        <f>IF(ISERROR(AND($V$85,MEDIAN(SPC!AI32:AI36))),NA(),MEDIAN(SPC!AI32:AI36))</f>
        <v>#N/A</v>
      </c>
      <c r="BA89" s="169" t="e">
        <f>IF(ISERROR(AND($V$85,MEDIAN(SPC!AJ32:AJ36))),NA(),MEDIAN(SPC!AJ32:AJ36))</f>
        <v>#N/A</v>
      </c>
      <c r="BB89" s="169" t="e">
        <f>IF(ISERROR(AND($V$85,MEDIAN(SPC!AK32:AK36))),NA(),MEDIAN(SPC!AK32:AK36))</f>
        <v>#N/A</v>
      </c>
      <c r="BC89" s="169" t="e">
        <f>IF(ISERROR(AND($V$85,MEDIAN(SPC!AL32:AL36))),NA(),MEDIAN(SPC!AL32:AL36))</f>
        <v>#N/A</v>
      </c>
      <c r="BD89" s="169" t="e">
        <f>IF(ISERROR(AND($V$85,MEDIAN(SPC!AM32:AM36))),NA(),MEDIAN(SPC!AM32:AM36))</f>
        <v>#N/A</v>
      </c>
      <c r="BE89" s="169" t="e">
        <f>IF(ISERROR(AND($V$85,MEDIAN(SPC!AN32:AN36))),NA(),MEDIAN(SPC!AN32:AN36))</f>
        <v>#N/A</v>
      </c>
      <c r="BF89" s="169" t="e">
        <f>IF(ISERROR(AND($V$85,MEDIAN(SPC!AO32:AO36))),NA(),MEDIAN(SPC!AO32:AO36))</f>
        <v>#N/A</v>
      </c>
      <c r="BG89" s="169" t="e">
        <f>IF(ISERROR(AND($V$85,MEDIAN(SPC!AP32:AP36))),NA(),MEDIAN(SPC!AP32:AP36))</f>
        <v>#N/A</v>
      </c>
      <c r="BH89" s="169" t="e">
        <f>IF(ISERROR(AND($V$85,MEDIAN(SPC!AQ32:AQ36))),NA(),MEDIAN(SPC!AQ32:AQ36))</f>
        <v>#N/A</v>
      </c>
      <c r="BI89" s="169" t="e">
        <f>IF(ISERROR(AND($V$85,MEDIAN(SPC!AR32:AR36))),NA(),MEDIAN(SPC!AR32:AR36))</f>
        <v>#N/A</v>
      </c>
      <c r="BJ89" s="169" t="e">
        <f>IF(ISERROR(AND($V$85,MEDIAN(SPC!AS32:AS36))),NA(),MEDIAN(SPC!AS32:AS36))</f>
        <v>#N/A</v>
      </c>
      <c r="BK89" s="169" t="e">
        <f>IF(ISERROR(AND($V$85,MEDIAN(SPC!AT32:AT36))),NA(),MEDIAN(SPC!AT32:AT36))</f>
        <v>#N/A</v>
      </c>
      <c r="BL89" s="169" t="e">
        <f>IF(ISERROR(AND($V$85,MEDIAN(SPC!AU32:AU36))),NA(),MEDIAN(SPC!AU32:AU36))</f>
        <v>#N/A</v>
      </c>
      <c r="BM89" s="169" t="e">
        <f>IF(ISERROR(AND($V$85,MEDIAN(SPC!AV32:AV36))),NA(),MEDIAN(SPC!AV32:AV36))</f>
        <v>#N/A</v>
      </c>
      <c r="BN89" s="169" t="e">
        <f>IF(ISERROR(AND($V$85,MEDIAN(SPC!AW32:AW36))),NA(),MEDIAN(SPC!AW32:AW36))</f>
        <v>#N/A</v>
      </c>
      <c r="BO89" s="169" t="e">
        <f>IF(ISERROR(AND($V$85,MEDIAN(SPC!AX32:AX36))),NA(),MEDIAN(SPC!AX32:AX36))</f>
        <v>#N/A</v>
      </c>
      <c r="BP89" s="169" t="e">
        <f>IF(ISERROR(AND($V$85,MEDIAN(SPC!AY32:AY36))),NA(),MEDIAN(SPC!AY32:AY36))</f>
        <v>#N/A</v>
      </c>
      <c r="BQ89" s="169" t="e">
        <f>IF(ISERROR(AND($V$85,MEDIAN(SPC!AZ32:AZ36))),NA(),MEDIAN(SPC!AZ32:AZ36))</f>
        <v>#N/A</v>
      </c>
      <c r="BR89" s="169" t="e">
        <f>IF(ISERROR(AND($V$85,MEDIAN(P37:P41))),NA(),MEDIAN(P37:P41))</f>
        <v>#N/A</v>
      </c>
      <c r="BS89" s="169"/>
      <c r="BT89" s="169"/>
      <c r="BU89" s="88"/>
      <c r="BV89" s="143"/>
      <c r="BW89" s="88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149"/>
    </row>
    <row r="90" spans="16:98" ht="13.8" thickBot="1" x14ac:dyDescent="0.3">
      <c r="P90" s="10"/>
      <c r="Q90" s="168"/>
      <c r="R90" s="164" t="s">
        <v>181</v>
      </c>
      <c r="S90" s="88" t="s">
        <v>182</v>
      </c>
      <c r="T90" s="207">
        <f>IF(SPC!C38="N/A",NA(),SPC!C38)</f>
        <v>3.7694552177875096E-2</v>
      </c>
      <c r="U90" s="208">
        <f>IF(SPC!D38="N/A",NA(),SPC!D38)</f>
        <v>2.961697927116802E-2</v>
      </c>
      <c r="V90" s="208">
        <f>IF(SPC!E38="N/A",NA(),SPC!E38)</f>
        <v>2.8710136178716539E-2</v>
      </c>
      <c r="W90" s="208">
        <f>IF(SPC!F38="N/A",NA(),SPC!F38)</f>
        <v>3.2516142465464526E-2</v>
      </c>
      <c r="X90" s="208">
        <f>IF(SPC!G38="N/A",NA(),SPC!G38)</f>
        <v>3.7694552177875096E-2</v>
      </c>
      <c r="Y90" s="208">
        <f>IF(SPC!H38="N/A",NA(),SPC!H38)</f>
        <v>2.961697927116802E-2</v>
      </c>
      <c r="Z90" s="208">
        <f>IF(SPC!I38="N/A",NA(),SPC!I38)</f>
        <v>2.8710136178716539E-2</v>
      </c>
      <c r="AA90" s="208">
        <f>IF(SPC!J38="N/A",NA(),SPC!J38)</f>
        <v>3.2516142465464526E-2</v>
      </c>
      <c r="AB90" s="208">
        <f>IF(SPC!K38="N/A",NA(),SPC!K38)</f>
        <v>3.7694552177875096E-2</v>
      </c>
      <c r="AC90" s="208">
        <f>IF(SPC!L38="N/A",NA(),SPC!L38)</f>
        <v>2.961697927116802E-2</v>
      </c>
      <c r="AD90" s="208">
        <f>IF(SPC!M38="N/A",NA(),SPC!M38)</f>
        <v>2.8710136178716539E-2</v>
      </c>
      <c r="AE90" s="208">
        <f>IF(SPC!N38="N/A",NA(),SPC!N38)</f>
        <v>3.2516142465464526E-2</v>
      </c>
      <c r="AF90" s="208">
        <f>IF(SPC!O38="N/A",NA(),SPC!O38)</f>
        <v>3.7694552177875096E-2</v>
      </c>
      <c r="AG90" s="208">
        <f>IF(SPC!P38="N/A",NA(),SPC!P38)</f>
        <v>2.961697927116802E-2</v>
      </c>
      <c r="AH90" s="208">
        <f>IF(SPC!Q38="N/A",NA(),SPC!Q38)</f>
        <v>2.8710136178716539E-2</v>
      </c>
      <c r="AI90" s="208">
        <f>IF(SPC!R38="N/A",NA(),SPC!R38)</f>
        <v>3.2516142465464526E-2</v>
      </c>
      <c r="AJ90" s="208">
        <f>IF(SPC!S38="N/A",NA(),SPC!S38)</f>
        <v>3.7694552177875096E-2</v>
      </c>
      <c r="AK90" s="208">
        <f>IF(SPC!T38="N/A",NA(),SPC!T38)</f>
        <v>2.961697927116802E-2</v>
      </c>
      <c r="AL90" s="208">
        <f>IF(SPC!U38="N/A",NA(),SPC!U38)</f>
        <v>2.8710136178716539E-2</v>
      </c>
      <c r="AM90" s="208">
        <f>IF(SPC!V38="N/A",NA(),SPC!V38)</f>
        <v>3.2516142465464526E-2</v>
      </c>
      <c r="AN90" s="208">
        <f>IF(SPC!W38="N/A",NA(),SPC!W38)</f>
        <v>3.7694552177875096E-2</v>
      </c>
      <c r="AO90" s="208">
        <f>IF(SPC!X38="N/A",NA(),SPC!X38)</f>
        <v>2.961697927116802E-2</v>
      </c>
      <c r="AP90" s="208">
        <f>IF(SPC!Y38="N/A",NA(),SPC!Y38)</f>
        <v>2.8710136178716539E-2</v>
      </c>
      <c r="AQ90" s="208">
        <f>IF(SPC!Z38="N/A",NA(),SPC!Z38)</f>
        <v>3.2516142465464526E-2</v>
      </c>
      <c r="AR90" s="208">
        <f>IF(SPC!AA38="N/A",NA(),SPC!AA38)</f>
        <v>3.7694552177875096E-2</v>
      </c>
      <c r="AS90" s="208">
        <f>IF(SPC!AB38="N/A",NA(),SPC!AB38)</f>
        <v>2.961697927116802E-2</v>
      </c>
      <c r="AT90" s="208">
        <f>IF(SPC!AC38="N/A",NA(),SPC!AC38)</f>
        <v>2.8710136178716539E-2</v>
      </c>
      <c r="AU90" s="208">
        <f>IF(SPC!AD38="N/A",NA(),SPC!AD38)</f>
        <v>3.2516142465464526E-2</v>
      </c>
      <c r="AV90" s="208">
        <f>IF(SPC!AE38="N/A",NA(),SPC!AE38)</f>
        <v>3.7694552177875096E-2</v>
      </c>
      <c r="AW90" s="208">
        <f>IF(SPC!AF38="N/A",NA(),SPC!AF38)</f>
        <v>2.961697927116802E-2</v>
      </c>
      <c r="AX90" s="208">
        <f>IF(SPC!AG38="N/A",NA(),SPC!AG38)</f>
        <v>2.8710136178716539E-2</v>
      </c>
      <c r="AY90" s="208">
        <f>IF(SPC!AH38="N/A",NA(),SPC!AH38)</f>
        <v>3.2516142465464526E-2</v>
      </c>
      <c r="AZ90" s="208">
        <f>IF(SPC!AI38="N/A",NA(),SPC!AI38)</f>
        <v>3.7694552177875096E-2</v>
      </c>
      <c r="BA90" s="208">
        <f>IF(SPC!AJ38="N/A",NA(),SPC!AJ38)</f>
        <v>2.961697927116802E-2</v>
      </c>
      <c r="BB90" s="208">
        <f>IF(SPC!AK38="N/A",NA(),SPC!AK38)</f>
        <v>2.8710136178716539E-2</v>
      </c>
      <c r="BC90" s="208">
        <f>IF(SPC!AL38="N/A",NA(),SPC!AL38)</f>
        <v>3.2516142465464526E-2</v>
      </c>
      <c r="BD90" s="208">
        <f>IF(SPC!AM38="N/A",NA(),SPC!AM38)</f>
        <v>3.7694552177875096E-2</v>
      </c>
      <c r="BE90" s="208">
        <f>IF(SPC!AN38="N/A",NA(),SPC!AN38)</f>
        <v>2.961697927116802E-2</v>
      </c>
      <c r="BF90" s="208">
        <f>IF(SPC!AO38="N/A",NA(),SPC!AO38)</f>
        <v>2.8710136178716539E-2</v>
      </c>
      <c r="BG90" s="208">
        <f>IF(SPC!AP38="N/A",NA(),SPC!AP38)</f>
        <v>3.2516142465464526E-2</v>
      </c>
      <c r="BH90" s="208">
        <f>IF(SPC!AQ38="N/A",NA(),SPC!AQ38)</f>
        <v>3.7694552177875096E-2</v>
      </c>
      <c r="BI90" s="208">
        <f>IF(SPC!AR38="N/A",NA(),SPC!AR38)</f>
        <v>2.961697927116802E-2</v>
      </c>
      <c r="BJ90" s="208">
        <f>IF(SPC!AS38="N/A",NA(),SPC!AS38)</f>
        <v>2.8710136178716539E-2</v>
      </c>
      <c r="BK90" s="208">
        <f>IF(SPC!AT38="N/A",NA(),SPC!AT38)</f>
        <v>3.2516142465464526E-2</v>
      </c>
      <c r="BL90" s="208">
        <f>IF(SPC!AU38="N/A",NA(),SPC!AU38)</f>
        <v>3.7694552177875096E-2</v>
      </c>
      <c r="BM90" s="208">
        <f>IF(SPC!AV38="N/A",NA(),SPC!AV38)</f>
        <v>2.961697927116802E-2</v>
      </c>
      <c r="BN90" s="208">
        <f>IF(SPC!AW38="N/A",NA(),SPC!AW38)</f>
        <v>2.8710136178716539E-2</v>
      </c>
      <c r="BO90" s="208">
        <f>IF(SPC!AX38="N/A",NA(),SPC!AX38)</f>
        <v>3.2516142465464526E-2</v>
      </c>
      <c r="BP90" s="208">
        <f>IF(SPC!AY38="N/A",NA(),SPC!AY38)</f>
        <v>3.7694552177875096E-2</v>
      </c>
      <c r="BQ90" s="208">
        <f>IF(SPC!AZ38="N/A",NA(),SPC!AZ38)</f>
        <v>2.961697927116802E-2</v>
      </c>
      <c r="BR90" s="208">
        <f>IF(SPC!BA38="N/A",NA(),SPC!BA38)</f>
        <v>2.8710136178716539E-2</v>
      </c>
      <c r="BS90" s="208"/>
      <c r="BT90" s="208"/>
      <c r="BU90" s="186"/>
      <c r="BV90" s="187"/>
      <c r="BW90" s="186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4"/>
    </row>
    <row r="91" spans="16:98" x14ac:dyDescent="0.25">
      <c r="P91" s="10"/>
      <c r="Q91" s="168"/>
      <c r="R91" s="88"/>
      <c r="S91" s="88"/>
      <c r="T91" s="88"/>
      <c r="U91" s="88"/>
      <c r="V91" s="88"/>
      <c r="W91" s="88"/>
      <c r="X91" s="180"/>
      <c r="Y91" s="88"/>
      <c r="Z91" s="88"/>
      <c r="AA91" s="88"/>
      <c r="AB91" s="88"/>
      <c r="AC91" s="180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143"/>
      <c r="BW91" s="12"/>
    </row>
    <row r="92" spans="16:98" x14ac:dyDescent="0.25">
      <c r="P92" s="10"/>
      <c r="Q92" s="168"/>
      <c r="R92" s="164">
        <f t="shared" ref="R92:R97" si="33">LEN(U92)</f>
        <v>43</v>
      </c>
      <c r="S92" s="164"/>
      <c r="T92" s="164">
        <f>IF(SPC!P5="",0,IF(SPC!X3&gt;=7,1,0))</f>
        <v>0</v>
      </c>
      <c r="U92" s="164" t="s">
        <v>163</v>
      </c>
      <c r="V92" s="164"/>
      <c r="W92" s="88"/>
      <c r="X92" s="88"/>
      <c r="Y92" s="88"/>
      <c r="Z92" s="88"/>
      <c r="AA92" s="88"/>
      <c r="AB92" s="88">
        <f ca="1">IF(SPC!P5="",0,IF(AND(SPC!F7&lt;1.67,SPC!N7&lt;1.33),1,0))</f>
        <v>0</v>
      </c>
      <c r="AC92" s="164" t="s">
        <v>149</v>
      </c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143"/>
      <c r="BW92" s="12"/>
    </row>
    <row r="93" spans="16:98" x14ac:dyDescent="0.25">
      <c r="P93" s="10"/>
      <c r="Q93" s="168"/>
      <c r="R93" s="164">
        <f t="shared" si="33"/>
        <v>43</v>
      </c>
      <c r="S93" s="164"/>
      <c r="T93" s="164">
        <f>IF(SPC!P5="",0,IF(SPC!X5&gt;=7,1,0))</f>
        <v>0</v>
      </c>
      <c r="U93" s="164" t="s">
        <v>164</v>
      </c>
      <c r="V93" s="164"/>
      <c r="W93" s="88"/>
      <c r="X93" s="88"/>
      <c r="Y93" s="88"/>
      <c r="Z93" s="88"/>
      <c r="AA93" s="88"/>
      <c r="AB93" s="88">
        <f ca="1">IF(SPC!P5="",0,IF(SPC!F7&lt;1.67,1,0))</f>
        <v>0</v>
      </c>
      <c r="AC93" s="88" t="s">
        <v>128</v>
      </c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143"/>
      <c r="BW93" s="12"/>
    </row>
    <row r="94" spans="16:98" x14ac:dyDescent="0.25">
      <c r="P94" s="10"/>
      <c r="Q94" s="168"/>
      <c r="R94" s="164">
        <f t="shared" si="33"/>
        <v>39</v>
      </c>
      <c r="S94" s="164"/>
      <c r="T94" s="164">
        <f ca="1">IF(SPC!P5="",0,IF(SPC!X7&lt;&gt;0,1,0))</f>
        <v>0</v>
      </c>
      <c r="U94" s="164" t="s">
        <v>152</v>
      </c>
      <c r="V94" s="164"/>
      <c r="W94" s="88"/>
      <c r="X94" s="88"/>
      <c r="Y94" s="88"/>
      <c r="Z94" s="88"/>
      <c r="AA94" s="88"/>
      <c r="AB94" s="88">
        <f ca="1">IF(SPC!P5="",0,IF(AND(SPC!F8&lt;1.67,SPC!F8&gt;=1.33,SPC!N8&lt;1.33),1,0))</f>
        <v>0</v>
      </c>
      <c r="AC94" s="164" t="s">
        <v>157</v>
      </c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143"/>
      <c r="BW94" s="12"/>
    </row>
    <row r="95" spans="16:98" x14ac:dyDescent="0.25">
      <c r="P95" s="10"/>
      <c r="Q95" s="168"/>
      <c r="R95" s="164">
        <f t="shared" si="33"/>
        <v>44</v>
      </c>
      <c r="S95" s="164"/>
      <c r="T95" s="164">
        <f>IF(SPC!P5="",0,IF(SPC!Z3&gt;=7,1,0))</f>
        <v>0</v>
      </c>
      <c r="U95" s="164" t="s">
        <v>165</v>
      </c>
      <c r="V95" s="164"/>
      <c r="W95" s="88"/>
      <c r="X95" s="88"/>
      <c r="Y95" s="88"/>
      <c r="Z95" s="88"/>
      <c r="AA95" s="88"/>
      <c r="AB95" s="88">
        <f ca="1">IF(SPC!P5="",0,IF(AND(SPC!F8&lt;1.67,SPC!F8&gt;=1.33),1,0))</f>
        <v>0</v>
      </c>
      <c r="AC95" s="88" t="s">
        <v>158</v>
      </c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143"/>
      <c r="BW95" s="12"/>
    </row>
    <row r="96" spans="16:98" x14ac:dyDescent="0.25">
      <c r="P96" s="10"/>
      <c r="Q96" s="168"/>
      <c r="R96" s="164">
        <f t="shared" si="33"/>
        <v>44</v>
      </c>
      <c r="S96" s="164"/>
      <c r="T96" s="164">
        <f>IF(SPC!P5="",0,IF(SPC!Z5&gt;=7,1,0))</f>
        <v>0</v>
      </c>
      <c r="U96" s="164" t="s">
        <v>166</v>
      </c>
      <c r="V96" s="164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143"/>
      <c r="BW96" s="12"/>
    </row>
    <row r="97" spans="16:75" x14ac:dyDescent="0.25">
      <c r="P97" s="10"/>
      <c r="Q97" s="168"/>
      <c r="R97" s="164">
        <f t="shared" si="33"/>
        <v>36</v>
      </c>
      <c r="S97" s="164"/>
      <c r="T97" s="164">
        <f ca="1">IF(SPC!P5="",0,IF(SPC!Z7&lt;&gt;0,1,0))</f>
        <v>1</v>
      </c>
      <c r="U97" s="164" t="s">
        <v>153</v>
      </c>
      <c r="V97" s="164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143"/>
      <c r="BW97" s="12"/>
    </row>
    <row r="98" spans="16:75" x14ac:dyDescent="0.25">
      <c r="P98" s="10"/>
      <c r="Q98" s="168"/>
      <c r="R98" s="164"/>
      <c r="S98" s="164">
        <f>LEN(U98)</f>
        <v>56</v>
      </c>
      <c r="T98" s="164">
        <f ca="1">IF(SPC!P5="",0,IF(AND(SPC!F7&lt;1.67,SPC!N7&lt;1.33),1,0))</f>
        <v>0</v>
      </c>
      <c r="U98" s="164" t="s">
        <v>149</v>
      </c>
      <c r="V98" s="164"/>
      <c r="W98" s="88"/>
      <c r="X98" s="88"/>
      <c r="Y98" s="88"/>
      <c r="Z98" s="88"/>
      <c r="AA98" s="88"/>
      <c r="AB98" s="164" t="e">
        <f ca="1">IF(SPC!P5="",0,IF(AND(SPC!N8&gt;=1.33,SPC!F8&gt;=1.67,SPC!F8&lt;&gt;"",SPC!#REF!&lt;&gt;"With presence of Special Cause."),1,0))</f>
        <v>#REF!</v>
      </c>
      <c r="AC98" s="88" t="s">
        <v>154</v>
      </c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143"/>
      <c r="BW98" s="12"/>
    </row>
    <row r="99" spans="16:75" x14ac:dyDescent="0.25">
      <c r="P99" s="10"/>
      <c r="Q99" s="168"/>
      <c r="R99" s="164"/>
      <c r="S99" s="164">
        <f>LEN(U99)</f>
        <v>69</v>
      </c>
      <c r="T99" s="164">
        <f ca="1">IF(SPC!P5="",0,IF(AND(SPC!F8&lt;1.67,SPC!F8&gt;=1.33,SPC!N8&lt;1.33),1,0))</f>
        <v>0</v>
      </c>
      <c r="U99" s="164" t="s">
        <v>157</v>
      </c>
      <c r="V99" s="164"/>
      <c r="W99" s="88"/>
      <c r="X99" s="88"/>
      <c r="Y99" s="88"/>
      <c r="Z99" s="88"/>
      <c r="AA99" s="88"/>
      <c r="AB99" s="88">
        <f ca="1">IF(SPC!P5="",0,IF(AND(SPC!N8="N/A",SPC!F8&gt;=1.67,SPC!F8&lt;&gt;""),1,0))</f>
        <v>0</v>
      </c>
      <c r="AC99" s="88" t="s">
        <v>155</v>
      </c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143"/>
      <c r="BW99" s="12"/>
    </row>
    <row r="100" spans="16:75" x14ac:dyDescent="0.25">
      <c r="P100" s="10"/>
      <c r="Q100" s="168"/>
      <c r="R100" s="164"/>
      <c r="S100" s="164">
        <f>LEN(U100)</f>
        <v>60</v>
      </c>
      <c r="T100" s="164">
        <f ca="1">IF(SPC!P5="",0,IF(SPC!F8&lt;1.67,1,0))</f>
        <v>1</v>
      </c>
      <c r="U100" s="88" t="s">
        <v>151</v>
      </c>
      <c r="V100" s="164"/>
      <c r="W100" s="88"/>
      <c r="X100" s="88"/>
      <c r="Y100" s="88"/>
      <c r="Z100" s="88"/>
      <c r="AA100" s="88"/>
      <c r="AB100" s="88">
        <f ca="1">IF(SPC!P5="",0,IF(AND(SPC!N8="N/A",SPC!F8&gt;=1.67,SPC!F8&lt;&gt;""),1,0))</f>
        <v>0</v>
      </c>
      <c r="AC100" s="88" t="s">
        <v>156</v>
      </c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143"/>
      <c r="BW100" s="12"/>
    </row>
    <row r="101" spans="16:75" x14ac:dyDescent="0.25">
      <c r="P101" s="10"/>
      <c r="Q101" s="168"/>
      <c r="R101" s="88"/>
      <c r="S101" s="164">
        <f>LEN(U101)</f>
        <v>106</v>
      </c>
      <c r="T101" s="88"/>
      <c r="U101" s="88" t="s">
        <v>150</v>
      </c>
      <c r="V101" s="88"/>
      <c r="W101" s="88"/>
      <c r="X101" s="88"/>
      <c r="Y101" s="88"/>
      <c r="Z101" s="88"/>
      <c r="AA101" s="88"/>
      <c r="AB101" s="88"/>
      <c r="AC101" s="88" t="s">
        <v>187</v>
      </c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143"/>
      <c r="BW101" s="12"/>
    </row>
    <row r="102" spans="16:75" x14ac:dyDescent="0.25">
      <c r="P102" s="10"/>
      <c r="Q102" s="168"/>
      <c r="R102" s="164"/>
      <c r="S102" s="164"/>
      <c r="T102" s="164">
        <f>IF(SPC!P5="",0,IF(T80&gt;=7,1,0))</f>
        <v>0</v>
      </c>
      <c r="U102" s="164" t="s">
        <v>183</v>
      </c>
      <c r="V102" s="164"/>
      <c r="W102" s="88"/>
      <c r="X102" s="88"/>
      <c r="Y102" s="88"/>
      <c r="Z102" s="88"/>
      <c r="AA102" s="88"/>
      <c r="AB102" s="88"/>
      <c r="AC102" s="88" t="s">
        <v>167</v>
      </c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143"/>
      <c r="BW102" s="12"/>
    </row>
    <row r="103" spans="16:75" x14ac:dyDescent="0.25">
      <c r="P103" s="10"/>
      <c r="Q103" s="168"/>
      <c r="R103" s="164"/>
      <c r="S103" s="164"/>
      <c r="T103" s="164">
        <f>IF(SPC!P5="",0,IF(T81&gt;=7,1,0))</f>
        <v>0</v>
      </c>
      <c r="U103" s="164" t="s">
        <v>184</v>
      </c>
      <c r="V103" s="164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143"/>
      <c r="BW103" s="12"/>
    </row>
    <row r="104" spans="16:75" x14ac:dyDescent="0.25">
      <c r="P104" s="10"/>
      <c r="Q104" s="168"/>
      <c r="R104" s="164"/>
      <c r="S104" s="164"/>
      <c r="T104" s="164">
        <f>IF(SPC!P5="",0,IF(T82&gt;=7,1,0))</f>
        <v>0</v>
      </c>
      <c r="U104" s="164" t="s">
        <v>185</v>
      </c>
      <c r="V104" s="164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143"/>
      <c r="BW104" s="12"/>
    </row>
    <row r="105" spans="16:75" x14ac:dyDescent="0.25">
      <c r="P105" s="10"/>
      <c r="Q105" s="168"/>
      <c r="R105" s="164"/>
      <c r="S105" s="164"/>
      <c r="T105" s="164">
        <f>IF(SPC!P5="",0,IF(T83&gt;=7,1,0))</f>
        <v>0</v>
      </c>
      <c r="U105" s="164" t="s">
        <v>186</v>
      </c>
      <c r="V105" s="164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143"/>
      <c r="BW105" s="12"/>
    </row>
    <row r="106" spans="16:75" x14ac:dyDescent="0.25">
      <c r="P106" s="10"/>
      <c r="Q106" s="168"/>
      <c r="R106" s="164">
        <f>SUM(R92:R105)</f>
        <v>249</v>
      </c>
      <c r="S106" s="164">
        <f>SUM(S92:S105)</f>
        <v>291</v>
      </c>
      <c r="T106" s="164">
        <f ca="1">SUM(T92:T97,T102:T105)</f>
        <v>1</v>
      </c>
      <c r="U106" s="164" t="s">
        <v>117</v>
      </c>
      <c r="V106" s="164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143"/>
      <c r="BW106" s="12"/>
    </row>
    <row r="107" spans="16:75" x14ac:dyDescent="0.25">
      <c r="P107" s="10"/>
      <c r="Q107" s="168"/>
      <c r="R107" s="164"/>
      <c r="S107" s="164"/>
      <c r="T107" s="164" t="s">
        <v>118</v>
      </c>
      <c r="U107" s="164"/>
      <c r="V107" s="164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143"/>
      <c r="BW107" s="12"/>
    </row>
    <row r="108" spans="16:75" x14ac:dyDescent="0.25">
      <c r="P108" s="10"/>
      <c r="Q108" s="168"/>
      <c r="R108" s="164"/>
      <c r="S108" s="183" t="s">
        <v>129</v>
      </c>
      <c r="T108" s="164">
        <v>1</v>
      </c>
      <c r="U108" s="164" t="str">
        <f t="shared" ref="U108:U116" si="34">IF(T92=1,U92,"")</f>
        <v/>
      </c>
      <c r="V108" s="164"/>
      <c r="W108" s="88"/>
      <c r="X108" s="88"/>
      <c r="Y108" s="88">
        <v>1</v>
      </c>
      <c r="Z108" s="88" t="str">
        <f ca="1">IF(U108&amp;U109&amp;U110&lt;&gt;"",CONCATENATE(U108,S108,U109,S108,U110),"")</f>
        <v/>
      </c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143"/>
      <c r="BW108" s="12"/>
    </row>
    <row r="109" spans="16:75" x14ac:dyDescent="0.25">
      <c r="P109" s="10"/>
      <c r="Q109" s="168"/>
      <c r="R109" s="164"/>
      <c r="S109" s="183" t="s">
        <v>129</v>
      </c>
      <c r="T109" s="164">
        <f t="shared" ref="T109:T116" si="35">1+T108</f>
        <v>2</v>
      </c>
      <c r="U109" s="164" t="str">
        <f t="shared" si="34"/>
        <v/>
      </c>
      <c r="V109" s="164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143"/>
      <c r="BW109" s="12"/>
    </row>
    <row r="110" spans="16:75" x14ac:dyDescent="0.25">
      <c r="P110" s="10"/>
      <c r="Q110" s="168"/>
      <c r="R110" s="164"/>
      <c r="S110" s="183" t="s">
        <v>129</v>
      </c>
      <c r="T110" s="164">
        <f t="shared" si="35"/>
        <v>3</v>
      </c>
      <c r="U110" s="164" t="str">
        <f t="shared" ca="1" si="34"/>
        <v/>
      </c>
      <c r="V110" s="164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143"/>
      <c r="BW110" s="12"/>
    </row>
    <row r="111" spans="16:75" x14ac:dyDescent="0.25">
      <c r="P111" s="10"/>
      <c r="Q111" s="168"/>
      <c r="R111" s="164"/>
      <c r="S111" s="183" t="s">
        <v>129</v>
      </c>
      <c r="T111" s="164">
        <f t="shared" si="35"/>
        <v>4</v>
      </c>
      <c r="U111" s="164" t="str">
        <f t="shared" si="34"/>
        <v/>
      </c>
      <c r="V111" s="164"/>
      <c r="W111" s="88"/>
      <c r="X111" s="88"/>
      <c r="Y111" s="88">
        <v>2</v>
      </c>
      <c r="Z111" s="88" t="str">
        <f ca="1">IF(U111&amp;U112&amp;U113&lt;&gt;"",CONCATENATE(U111,S111,U112,S111,U113),"")</f>
        <v xml:space="preserve">      With out of control limits (R chart)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143"/>
      <c r="BW111" s="12"/>
    </row>
    <row r="112" spans="16:75" x14ac:dyDescent="0.25">
      <c r="P112" s="10"/>
      <c r="Q112" s="168"/>
      <c r="R112" s="164"/>
      <c r="S112" s="183" t="s">
        <v>129</v>
      </c>
      <c r="T112" s="164">
        <f t="shared" si="35"/>
        <v>5</v>
      </c>
      <c r="U112" s="164" t="str">
        <f t="shared" si="34"/>
        <v/>
      </c>
      <c r="V112" s="164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143"/>
      <c r="BW112" s="12"/>
    </row>
    <row r="113" spans="16:75" x14ac:dyDescent="0.25">
      <c r="P113" s="10"/>
      <c r="Q113" s="168"/>
      <c r="R113" s="164"/>
      <c r="S113" s="183" t="s">
        <v>129</v>
      </c>
      <c r="T113" s="164">
        <f t="shared" si="35"/>
        <v>6</v>
      </c>
      <c r="U113" s="164" t="str">
        <f t="shared" ca="1" si="34"/>
        <v>With out of control limits (R chart)</v>
      </c>
      <c r="V113" s="164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143"/>
      <c r="BW113" s="12"/>
    </row>
    <row r="114" spans="16:75" x14ac:dyDescent="0.25">
      <c r="P114" s="10"/>
      <c r="Q114" s="168"/>
      <c r="R114" s="164"/>
      <c r="S114" s="183" t="s">
        <v>129</v>
      </c>
      <c r="T114" s="164">
        <f t="shared" si="35"/>
        <v>7</v>
      </c>
      <c r="U114" s="164" t="str">
        <f t="shared" ca="1" si="34"/>
        <v/>
      </c>
      <c r="V114" s="164"/>
      <c r="W114" s="88"/>
      <c r="X114" s="88"/>
      <c r="Y114" s="88">
        <v>3</v>
      </c>
      <c r="Z114" s="164" t="str">
        <f ca="1">IF(T98=1,U98,"")</f>
        <v/>
      </c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143"/>
      <c r="BW114" s="12"/>
    </row>
    <row r="115" spans="16:75" x14ac:dyDescent="0.25">
      <c r="P115" s="10"/>
      <c r="Q115" s="168"/>
      <c r="R115" s="164"/>
      <c r="S115" s="183" t="s">
        <v>129</v>
      </c>
      <c r="T115" s="164">
        <f t="shared" si="35"/>
        <v>8</v>
      </c>
      <c r="U115" s="164" t="str">
        <f t="shared" ca="1" si="34"/>
        <v/>
      </c>
      <c r="V115" s="164"/>
      <c r="W115" s="88"/>
      <c r="X115" s="88"/>
      <c r="Y115" s="88">
        <v>4</v>
      </c>
      <c r="Z115" s="164" t="str">
        <f ca="1">IF(T99=1,U99,"")</f>
        <v/>
      </c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143"/>
      <c r="BW115" s="12"/>
    </row>
    <row r="116" spans="16:75" x14ac:dyDescent="0.25">
      <c r="P116" s="10"/>
      <c r="Q116" s="168"/>
      <c r="R116" s="164"/>
      <c r="S116" s="183" t="s">
        <v>129</v>
      </c>
      <c r="T116" s="164">
        <f t="shared" si="35"/>
        <v>9</v>
      </c>
      <c r="U116" s="164" t="str">
        <f t="shared" ca="1" si="34"/>
        <v>The process does not currently meet the acceptance criteria.</v>
      </c>
      <c r="V116" s="164"/>
      <c r="W116" s="88"/>
      <c r="X116" s="88"/>
      <c r="Y116" s="88">
        <v>5</v>
      </c>
      <c r="Z116" s="164" t="str">
        <f ca="1">IF(T100=1,U116,"")</f>
        <v>The process does not currently meet the acceptance criteria.</v>
      </c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143"/>
      <c r="BW116" s="12"/>
    </row>
    <row r="117" spans="16:75" x14ac:dyDescent="0.25">
      <c r="P117" s="25"/>
      <c r="Q117" s="168"/>
      <c r="R117" s="88"/>
      <c r="S117" s="88"/>
      <c r="T117" s="88"/>
      <c r="U117" s="164" t="e">
        <f>IF(AND(SPC!#REF!="With presence of Special Cause.",SPC!#REF!=1),U101,"")</f>
        <v>#REF!</v>
      </c>
      <c r="V117" s="88"/>
      <c r="W117" s="88"/>
      <c r="X117" s="88"/>
      <c r="Y117" s="88">
        <v>6</v>
      </c>
      <c r="Z117" s="88" t="e">
        <f>IF(SPC!#REF!="With presence of Special Cause.",U117,"")</f>
        <v>#REF!</v>
      </c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143"/>
      <c r="BW117" s="12"/>
    </row>
    <row r="118" spans="16:75" x14ac:dyDescent="0.25">
      <c r="P118" s="10"/>
      <c r="Q118" s="168"/>
      <c r="R118" s="164"/>
      <c r="S118" s="183" t="s">
        <v>129</v>
      </c>
      <c r="T118" s="164">
        <f>1+T116</f>
        <v>10</v>
      </c>
      <c r="U118" s="164" t="str">
        <f>IF(T102=1,U102,"")</f>
        <v/>
      </c>
      <c r="V118" s="164"/>
      <c r="W118" s="88"/>
      <c r="X118" s="88"/>
      <c r="Y118" s="88">
        <v>7</v>
      </c>
      <c r="Z118" s="88" t="str">
        <f>IF(U118&amp;U119&lt;&gt;"",CONCATENATE(U118,S118,U119),"")</f>
        <v/>
      </c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143"/>
      <c r="BW118" s="12"/>
    </row>
    <row r="119" spans="16:75" x14ac:dyDescent="0.25">
      <c r="P119" s="10"/>
      <c r="Q119" s="168"/>
      <c r="R119" s="164"/>
      <c r="S119" s="183" t="s">
        <v>129</v>
      </c>
      <c r="T119" s="164">
        <f t="shared" ref="T119:T124" si="36">1+T118</f>
        <v>11</v>
      </c>
      <c r="U119" s="164" t="str">
        <f>IF(T103=1,U103,"")</f>
        <v/>
      </c>
      <c r="V119" s="164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143"/>
      <c r="BW119" s="12"/>
    </row>
    <row r="120" spans="16:75" x14ac:dyDescent="0.25">
      <c r="P120" s="10"/>
      <c r="Q120" s="184"/>
      <c r="R120" s="164"/>
      <c r="S120" s="183" t="s">
        <v>129</v>
      </c>
      <c r="T120" s="164">
        <f t="shared" si="36"/>
        <v>12</v>
      </c>
      <c r="U120" s="164" t="str">
        <f>IF(T104=1,U104,"")</f>
        <v/>
      </c>
      <c r="V120" s="164"/>
      <c r="W120" s="88"/>
      <c r="X120" s="88"/>
      <c r="Y120" s="88">
        <v>8</v>
      </c>
      <c r="Z120" s="88" t="str">
        <f>IF(U120&amp;U121&lt;&gt;"",CONCATENATE(U120,S120,U121),"")</f>
        <v/>
      </c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143"/>
      <c r="BW120" s="12"/>
    </row>
    <row r="121" spans="16:75" x14ac:dyDescent="0.25">
      <c r="P121" s="10"/>
      <c r="Q121" s="168"/>
      <c r="R121" s="164"/>
      <c r="S121" s="183" t="s">
        <v>129</v>
      </c>
      <c r="T121" s="164">
        <f t="shared" si="36"/>
        <v>13</v>
      </c>
      <c r="U121" s="164" t="str">
        <f>IF(T105=1,U105,"")</f>
        <v/>
      </c>
      <c r="V121" s="164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143"/>
      <c r="BW121" s="12"/>
    </row>
    <row r="122" spans="16:75" x14ac:dyDescent="0.25">
      <c r="P122" s="10"/>
      <c r="Q122" s="168"/>
      <c r="R122" s="88"/>
      <c r="S122" s="183" t="s">
        <v>129</v>
      </c>
      <c r="T122" s="164">
        <f t="shared" si="36"/>
        <v>14</v>
      </c>
      <c r="U122" s="88" t="e">
        <f ca="1">IF(AB98=1,AC98,"")</f>
        <v>#REF!</v>
      </c>
      <c r="V122" s="88"/>
      <c r="W122" s="88"/>
      <c r="X122" s="88"/>
      <c r="Y122" s="88">
        <v>9</v>
      </c>
      <c r="Z122" s="88" t="e">
        <f ca="1">IF(U122&amp;U123&lt;&gt;"",CONCATENATE(U122,S122,U123),"")</f>
        <v>#REF!</v>
      </c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143"/>
      <c r="BW122" s="12"/>
    </row>
    <row r="123" spans="16:75" x14ac:dyDescent="0.25">
      <c r="P123" s="10"/>
      <c r="Q123" s="168"/>
      <c r="R123" s="88"/>
      <c r="S123" s="183" t="s">
        <v>129</v>
      </c>
      <c r="T123" s="164">
        <f t="shared" si="36"/>
        <v>15</v>
      </c>
      <c r="U123" s="88" t="str">
        <f ca="1">IF(AB99=1,AC99,"")</f>
        <v/>
      </c>
      <c r="V123" s="88"/>
      <c r="W123" s="88"/>
      <c r="X123" s="88"/>
      <c r="Y123" s="88">
        <v>10</v>
      </c>
      <c r="Z123" s="88" t="str">
        <f ca="1">IF(AB100=1,U124,"")</f>
        <v/>
      </c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143"/>
      <c r="BW123" s="12"/>
    </row>
    <row r="124" spans="16:75" x14ac:dyDescent="0.25">
      <c r="P124" s="10"/>
      <c r="Q124" s="168"/>
      <c r="R124" s="164"/>
      <c r="S124" s="164"/>
      <c r="T124" s="164">
        <f t="shared" si="36"/>
        <v>16</v>
      </c>
      <c r="U124" s="88" t="str">
        <f ca="1">IF(AB100=1,AC100,"")</f>
        <v/>
      </c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143"/>
      <c r="BW124" s="12"/>
    </row>
    <row r="125" spans="16:75" x14ac:dyDescent="0.25">
      <c r="P125" s="10"/>
      <c r="Q125" s="168"/>
      <c r="R125" s="88"/>
      <c r="S125" s="88"/>
      <c r="T125" s="164" t="s">
        <v>121</v>
      </c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143"/>
      <c r="BW125" s="12"/>
    </row>
    <row r="126" spans="16:75" x14ac:dyDescent="0.25">
      <c r="P126" s="10"/>
      <c r="Q126" s="16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143"/>
      <c r="BW126" s="12"/>
    </row>
    <row r="127" spans="16:75" x14ac:dyDescent="0.25">
      <c r="P127" s="10"/>
      <c r="Q127" s="168"/>
      <c r="R127" s="76" t="s">
        <v>130</v>
      </c>
      <c r="S127" s="76"/>
      <c r="T127" s="76"/>
      <c r="U127" s="76"/>
      <c r="V127" s="76"/>
      <c r="W127" s="76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143"/>
      <c r="BW127" s="12"/>
    </row>
    <row r="128" spans="16:75" x14ac:dyDescent="0.25">
      <c r="P128" s="10"/>
      <c r="Q128" s="168"/>
      <c r="R128" s="88">
        <f ca="1">MID(CELL("format",SPC!$C$32),2,1)+1</f>
        <v>3</v>
      </c>
      <c r="S128" s="88" t="s">
        <v>188</v>
      </c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143"/>
      <c r="BW128" s="12"/>
    </row>
    <row r="129" spans="16:75" x14ac:dyDescent="0.25">
      <c r="P129" s="10"/>
      <c r="Q129" s="16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143"/>
      <c r="BW129" s="12"/>
    </row>
    <row r="130" spans="16:75" x14ac:dyDescent="0.25">
      <c r="P130" s="10"/>
      <c r="Q130" s="168"/>
      <c r="R130" s="88">
        <f ca="1">IF(SPC!K9=3,"N/A",STANDARDIZE(SPC!AH3,SPC!AH8,R131))</f>
        <v>-4.764435625033296</v>
      </c>
      <c r="S130" s="88" t="s">
        <v>191</v>
      </c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143"/>
      <c r="BW130" s="12"/>
    </row>
    <row r="131" spans="16:75" x14ac:dyDescent="0.25">
      <c r="P131" s="10"/>
      <c r="Q131" s="168"/>
      <c r="R131" s="88">
        <f ca="1">ROUND(STDEV(SPC!C37:BA37),R$128)</f>
        <v>6.0000000000000001E-3</v>
      </c>
      <c r="S131" s="88" t="s">
        <v>192</v>
      </c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143"/>
      <c r="BW131" s="12"/>
    </row>
    <row r="132" spans="16:75" x14ac:dyDescent="0.25">
      <c r="P132" s="10"/>
      <c r="Q132" s="16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143"/>
      <c r="BW132" s="12"/>
    </row>
    <row r="133" spans="16:75" x14ac:dyDescent="0.25">
      <c r="P133" s="10"/>
      <c r="Q133" s="168"/>
      <c r="R133" s="88">
        <f ca="1">IF(SPC!K9=2,"N/A",STANDARDIZE(SPC!AH5,SPC!AH8,R131))</f>
        <v>28.568897708300511</v>
      </c>
      <c r="S133" s="88" t="s">
        <v>189</v>
      </c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143"/>
      <c r="BW133" s="12"/>
    </row>
    <row r="134" spans="16:75" x14ac:dyDescent="0.25">
      <c r="P134" s="10"/>
      <c r="Q134" s="16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143"/>
      <c r="BW134" s="12"/>
    </row>
    <row r="135" spans="16:75" x14ac:dyDescent="0.25">
      <c r="P135" s="10"/>
      <c r="Q135" s="16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143"/>
      <c r="BW135" s="12"/>
    </row>
    <row r="136" spans="16:75" x14ac:dyDescent="0.25">
      <c r="P136" s="10"/>
      <c r="Q136" s="16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143"/>
      <c r="BW136" s="12"/>
    </row>
    <row r="137" spans="16:75" ht="13.8" thickBot="1" x14ac:dyDescent="0.3">
      <c r="P137" s="10"/>
      <c r="Q137" s="185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7"/>
      <c r="BW137" s="12"/>
    </row>
    <row r="138" spans="16:75" x14ac:dyDescent="0.25">
      <c r="P138" s="10"/>
      <c r="Q138" s="10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</row>
    <row r="139" spans="16:75" x14ac:dyDescent="0.25">
      <c r="P139" s="10"/>
      <c r="Q139" s="10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</row>
    <row r="140" spans="16:75" x14ac:dyDescent="0.25">
      <c r="P140" s="10"/>
      <c r="Q140" s="10"/>
      <c r="R140" s="12"/>
      <c r="S140" s="164" t="s">
        <v>171</v>
      </c>
      <c r="T140" s="26" t="e">
        <f>IF(SPC!$N$11="",NA(),SPC!$N$11)</f>
        <v>#N/A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</row>
    <row r="141" spans="16:75" x14ac:dyDescent="0.25">
      <c r="P141" s="10"/>
      <c r="Q141" s="10"/>
      <c r="R141" s="12"/>
      <c r="S141" s="164" t="s">
        <v>172</v>
      </c>
      <c r="T141" s="26" t="e">
        <f>IF(SPC!$G$11="",NA(),SPC!$G$11)</f>
        <v>#N/A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</row>
    <row r="142" spans="16:75" x14ac:dyDescent="0.25">
      <c r="Q142" s="10"/>
      <c r="R142" s="12"/>
      <c r="S142" s="164" t="s">
        <v>173</v>
      </c>
      <c r="T142" s="26" t="e">
        <f>IF(SPC!$U$11="",NA(),SPC!$U$11)</f>
        <v>#N/A</v>
      </c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</row>
    <row r="143" spans="16:75" x14ac:dyDescent="0.25">
      <c r="Q143" s="10"/>
      <c r="R143" s="12"/>
      <c r="S143" s="164" t="s">
        <v>174</v>
      </c>
      <c r="T143" s="26" t="e">
        <f>IF(SPC!$N$21="",NA(),SPC!$N$21)</f>
        <v>#N/A</v>
      </c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</row>
    <row r="144" spans="16:75" x14ac:dyDescent="0.25">
      <c r="Q144" s="10"/>
      <c r="R144" s="12"/>
      <c r="S144" s="164" t="s">
        <v>175</v>
      </c>
      <c r="T144" s="26" t="e">
        <f>IF(SPC!$G$21="",NA(),SPC!$G$21)</f>
        <v>#N/A</v>
      </c>
      <c r="U144" s="56"/>
      <c r="V144" s="56"/>
      <c r="W144" s="56"/>
      <c r="X144" s="56"/>
      <c r="Y144" s="56"/>
      <c r="Z144" s="57"/>
      <c r="AA144" s="57"/>
      <c r="AB144" s="57"/>
      <c r="AC144" s="57"/>
      <c r="AD144" s="57"/>
      <c r="AE144" s="57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</row>
    <row r="145" spans="19:98" x14ac:dyDescent="0.25">
      <c r="S145" s="164" t="s">
        <v>176</v>
      </c>
      <c r="T145" s="26" t="e">
        <f>IF(SPC!$U$21="",NA(),SPC!$U$21)</f>
        <v>#N/A</v>
      </c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</row>
    <row r="146" spans="19:98" ht="13.8" thickBot="1" x14ac:dyDescent="0.3">
      <c r="S146" s="20" t="s">
        <v>170</v>
      </c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</row>
    <row r="147" spans="19:98" x14ac:dyDescent="0.25">
      <c r="S147" s="164" t="s">
        <v>171</v>
      </c>
      <c r="T147" s="209" t="e">
        <f t="shared" ref="T147:AR147" si="37">IF(ISERROR($T$140),NA(),$T$140)</f>
        <v>#N/A</v>
      </c>
      <c r="U147" s="210" t="e">
        <f t="shared" si="37"/>
        <v>#N/A</v>
      </c>
      <c r="V147" s="210" t="e">
        <f t="shared" si="37"/>
        <v>#N/A</v>
      </c>
      <c r="W147" s="210" t="e">
        <f t="shared" si="37"/>
        <v>#N/A</v>
      </c>
      <c r="X147" s="210" t="e">
        <f t="shared" si="37"/>
        <v>#N/A</v>
      </c>
      <c r="Y147" s="210" t="e">
        <f t="shared" si="37"/>
        <v>#N/A</v>
      </c>
      <c r="Z147" s="210" t="e">
        <f t="shared" si="37"/>
        <v>#N/A</v>
      </c>
      <c r="AA147" s="210" t="e">
        <f t="shared" si="37"/>
        <v>#N/A</v>
      </c>
      <c r="AB147" s="210" t="e">
        <f t="shared" si="37"/>
        <v>#N/A</v>
      </c>
      <c r="AC147" s="210" t="e">
        <f t="shared" si="37"/>
        <v>#N/A</v>
      </c>
      <c r="AD147" s="210" t="e">
        <f t="shared" si="37"/>
        <v>#N/A</v>
      </c>
      <c r="AE147" s="210" t="e">
        <f t="shared" si="37"/>
        <v>#N/A</v>
      </c>
      <c r="AF147" s="210" t="e">
        <f t="shared" si="37"/>
        <v>#N/A</v>
      </c>
      <c r="AG147" s="210" t="e">
        <f t="shared" si="37"/>
        <v>#N/A</v>
      </c>
      <c r="AH147" s="210" t="e">
        <f t="shared" si="37"/>
        <v>#N/A</v>
      </c>
      <c r="AI147" s="210" t="e">
        <f t="shared" si="37"/>
        <v>#N/A</v>
      </c>
      <c r="AJ147" s="210" t="e">
        <f t="shared" si="37"/>
        <v>#N/A</v>
      </c>
      <c r="AK147" s="210" t="e">
        <f t="shared" si="37"/>
        <v>#N/A</v>
      </c>
      <c r="AL147" s="210" t="e">
        <f t="shared" si="37"/>
        <v>#N/A</v>
      </c>
      <c r="AM147" s="210" t="e">
        <f t="shared" si="37"/>
        <v>#N/A</v>
      </c>
      <c r="AN147" s="210" t="e">
        <f t="shared" si="37"/>
        <v>#N/A</v>
      </c>
      <c r="AO147" s="210" t="e">
        <f t="shared" si="37"/>
        <v>#N/A</v>
      </c>
      <c r="AP147" s="210" t="e">
        <f t="shared" si="37"/>
        <v>#N/A</v>
      </c>
      <c r="AQ147" s="210" t="e">
        <f t="shared" si="37"/>
        <v>#N/A</v>
      </c>
      <c r="AR147" s="210" t="e">
        <f t="shared" si="37"/>
        <v>#N/A</v>
      </c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91"/>
    </row>
    <row r="148" spans="19:98" x14ac:dyDescent="0.25">
      <c r="S148" s="164" t="s">
        <v>172</v>
      </c>
      <c r="T148" s="211" t="e">
        <f t="shared" ref="T148:AR148" si="38">IF(ISERROR($T$141),NA(),$T$141)</f>
        <v>#N/A</v>
      </c>
      <c r="U148" s="26" t="e">
        <f t="shared" si="38"/>
        <v>#N/A</v>
      </c>
      <c r="V148" s="26" t="e">
        <f t="shared" si="38"/>
        <v>#N/A</v>
      </c>
      <c r="W148" s="26" t="e">
        <f t="shared" si="38"/>
        <v>#N/A</v>
      </c>
      <c r="X148" s="26" t="e">
        <f t="shared" si="38"/>
        <v>#N/A</v>
      </c>
      <c r="Y148" s="26" t="e">
        <f t="shared" si="38"/>
        <v>#N/A</v>
      </c>
      <c r="Z148" s="26" t="e">
        <f t="shared" si="38"/>
        <v>#N/A</v>
      </c>
      <c r="AA148" s="26" t="e">
        <f t="shared" si="38"/>
        <v>#N/A</v>
      </c>
      <c r="AB148" s="26" t="e">
        <f t="shared" si="38"/>
        <v>#N/A</v>
      </c>
      <c r="AC148" s="26" t="e">
        <f t="shared" si="38"/>
        <v>#N/A</v>
      </c>
      <c r="AD148" s="26" t="e">
        <f t="shared" si="38"/>
        <v>#N/A</v>
      </c>
      <c r="AE148" s="26" t="e">
        <f t="shared" si="38"/>
        <v>#N/A</v>
      </c>
      <c r="AF148" s="26" t="e">
        <f t="shared" si="38"/>
        <v>#N/A</v>
      </c>
      <c r="AG148" s="26" t="e">
        <f t="shared" si="38"/>
        <v>#N/A</v>
      </c>
      <c r="AH148" s="26" t="e">
        <f t="shared" si="38"/>
        <v>#N/A</v>
      </c>
      <c r="AI148" s="26" t="e">
        <f t="shared" si="38"/>
        <v>#N/A</v>
      </c>
      <c r="AJ148" s="26" t="e">
        <f t="shared" si="38"/>
        <v>#N/A</v>
      </c>
      <c r="AK148" s="26" t="e">
        <f t="shared" si="38"/>
        <v>#N/A</v>
      </c>
      <c r="AL148" s="26" t="e">
        <f t="shared" si="38"/>
        <v>#N/A</v>
      </c>
      <c r="AM148" s="26" t="e">
        <f t="shared" si="38"/>
        <v>#N/A</v>
      </c>
      <c r="AN148" s="26" t="e">
        <f t="shared" si="38"/>
        <v>#N/A</v>
      </c>
      <c r="AO148" s="26" t="e">
        <f t="shared" si="38"/>
        <v>#N/A</v>
      </c>
      <c r="AP148" s="26" t="e">
        <f t="shared" si="38"/>
        <v>#N/A</v>
      </c>
      <c r="AQ148" s="26" t="e">
        <f t="shared" si="38"/>
        <v>#N/A</v>
      </c>
      <c r="AR148" s="26" t="e">
        <f t="shared" si="38"/>
        <v>#N/A</v>
      </c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149"/>
    </row>
    <row r="149" spans="19:98" x14ac:dyDescent="0.25">
      <c r="S149" s="164" t="s">
        <v>173</v>
      </c>
      <c r="T149" s="211" t="e">
        <f t="shared" ref="T149:AR149" si="39">IF(ISERROR($T$142),NA(),$T$142)</f>
        <v>#N/A</v>
      </c>
      <c r="U149" s="26" t="e">
        <f t="shared" si="39"/>
        <v>#N/A</v>
      </c>
      <c r="V149" s="26" t="e">
        <f t="shared" si="39"/>
        <v>#N/A</v>
      </c>
      <c r="W149" s="26" t="e">
        <f t="shared" si="39"/>
        <v>#N/A</v>
      </c>
      <c r="X149" s="26" t="e">
        <f t="shared" si="39"/>
        <v>#N/A</v>
      </c>
      <c r="Y149" s="26" t="e">
        <f t="shared" si="39"/>
        <v>#N/A</v>
      </c>
      <c r="Z149" s="26" t="e">
        <f t="shared" si="39"/>
        <v>#N/A</v>
      </c>
      <c r="AA149" s="26" t="e">
        <f t="shared" si="39"/>
        <v>#N/A</v>
      </c>
      <c r="AB149" s="26" t="e">
        <f t="shared" si="39"/>
        <v>#N/A</v>
      </c>
      <c r="AC149" s="26" t="e">
        <f t="shared" si="39"/>
        <v>#N/A</v>
      </c>
      <c r="AD149" s="26" t="e">
        <f t="shared" si="39"/>
        <v>#N/A</v>
      </c>
      <c r="AE149" s="26" t="e">
        <f t="shared" si="39"/>
        <v>#N/A</v>
      </c>
      <c r="AF149" s="26" t="e">
        <f t="shared" si="39"/>
        <v>#N/A</v>
      </c>
      <c r="AG149" s="26" t="e">
        <f t="shared" si="39"/>
        <v>#N/A</v>
      </c>
      <c r="AH149" s="26" t="e">
        <f t="shared" si="39"/>
        <v>#N/A</v>
      </c>
      <c r="AI149" s="26" t="e">
        <f t="shared" si="39"/>
        <v>#N/A</v>
      </c>
      <c r="AJ149" s="26" t="e">
        <f t="shared" si="39"/>
        <v>#N/A</v>
      </c>
      <c r="AK149" s="26" t="e">
        <f t="shared" si="39"/>
        <v>#N/A</v>
      </c>
      <c r="AL149" s="26" t="e">
        <f t="shared" si="39"/>
        <v>#N/A</v>
      </c>
      <c r="AM149" s="26" t="e">
        <f t="shared" si="39"/>
        <v>#N/A</v>
      </c>
      <c r="AN149" s="26" t="e">
        <f t="shared" si="39"/>
        <v>#N/A</v>
      </c>
      <c r="AO149" s="26" t="e">
        <f t="shared" si="39"/>
        <v>#N/A</v>
      </c>
      <c r="AP149" s="26" t="e">
        <f t="shared" si="39"/>
        <v>#N/A</v>
      </c>
      <c r="AQ149" s="26" t="e">
        <f t="shared" si="39"/>
        <v>#N/A</v>
      </c>
      <c r="AR149" s="26" t="e">
        <f t="shared" si="39"/>
        <v>#N/A</v>
      </c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149"/>
    </row>
    <row r="150" spans="19:98" x14ac:dyDescent="0.25">
      <c r="S150" s="164" t="s">
        <v>174</v>
      </c>
      <c r="T150" s="211" t="e">
        <f t="shared" ref="T150:AR150" si="40">IF(ISERROR($T$143),NA(),$T$143)</f>
        <v>#N/A</v>
      </c>
      <c r="U150" s="26" t="e">
        <f t="shared" si="40"/>
        <v>#N/A</v>
      </c>
      <c r="V150" s="26" t="e">
        <f t="shared" si="40"/>
        <v>#N/A</v>
      </c>
      <c r="W150" s="26" t="e">
        <f t="shared" si="40"/>
        <v>#N/A</v>
      </c>
      <c r="X150" s="26" t="e">
        <f t="shared" si="40"/>
        <v>#N/A</v>
      </c>
      <c r="Y150" s="26" t="e">
        <f t="shared" si="40"/>
        <v>#N/A</v>
      </c>
      <c r="Z150" s="26" t="e">
        <f t="shared" si="40"/>
        <v>#N/A</v>
      </c>
      <c r="AA150" s="26" t="e">
        <f t="shared" si="40"/>
        <v>#N/A</v>
      </c>
      <c r="AB150" s="26" t="e">
        <f t="shared" si="40"/>
        <v>#N/A</v>
      </c>
      <c r="AC150" s="26" t="e">
        <f t="shared" si="40"/>
        <v>#N/A</v>
      </c>
      <c r="AD150" s="26" t="e">
        <f t="shared" si="40"/>
        <v>#N/A</v>
      </c>
      <c r="AE150" s="26" t="e">
        <f t="shared" si="40"/>
        <v>#N/A</v>
      </c>
      <c r="AF150" s="26" t="e">
        <f t="shared" si="40"/>
        <v>#N/A</v>
      </c>
      <c r="AG150" s="26" t="e">
        <f t="shared" si="40"/>
        <v>#N/A</v>
      </c>
      <c r="AH150" s="26" t="e">
        <f t="shared" si="40"/>
        <v>#N/A</v>
      </c>
      <c r="AI150" s="26" t="e">
        <f t="shared" si="40"/>
        <v>#N/A</v>
      </c>
      <c r="AJ150" s="26" t="e">
        <f t="shared" si="40"/>
        <v>#N/A</v>
      </c>
      <c r="AK150" s="26" t="e">
        <f t="shared" si="40"/>
        <v>#N/A</v>
      </c>
      <c r="AL150" s="26" t="e">
        <f t="shared" si="40"/>
        <v>#N/A</v>
      </c>
      <c r="AM150" s="26" t="e">
        <f t="shared" si="40"/>
        <v>#N/A</v>
      </c>
      <c r="AN150" s="26" t="e">
        <f t="shared" si="40"/>
        <v>#N/A</v>
      </c>
      <c r="AO150" s="26" t="e">
        <f t="shared" si="40"/>
        <v>#N/A</v>
      </c>
      <c r="AP150" s="26" t="e">
        <f t="shared" si="40"/>
        <v>#N/A</v>
      </c>
      <c r="AQ150" s="26" t="e">
        <f t="shared" si="40"/>
        <v>#N/A</v>
      </c>
      <c r="AR150" s="26" t="e">
        <f t="shared" si="40"/>
        <v>#N/A</v>
      </c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149"/>
    </row>
    <row r="151" spans="19:98" ht="13.8" thickBot="1" x14ac:dyDescent="0.3">
      <c r="S151" s="164" t="s">
        <v>175</v>
      </c>
      <c r="T151" s="212" t="e">
        <f t="shared" ref="T151:AR151" si="41">IF(ISERROR($T$144),NA(),$T$144)</f>
        <v>#N/A</v>
      </c>
      <c r="U151" s="213" t="e">
        <f t="shared" si="41"/>
        <v>#N/A</v>
      </c>
      <c r="V151" s="213" t="e">
        <f t="shared" si="41"/>
        <v>#N/A</v>
      </c>
      <c r="W151" s="213" t="e">
        <f t="shared" si="41"/>
        <v>#N/A</v>
      </c>
      <c r="X151" s="213" t="e">
        <f t="shared" si="41"/>
        <v>#N/A</v>
      </c>
      <c r="Y151" s="213" t="e">
        <f t="shared" si="41"/>
        <v>#N/A</v>
      </c>
      <c r="Z151" s="213" t="e">
        <f t="shared" si="41"/>
        <v>#N/A</v>
      </c>
      <c r="AA151" s="213" t="e">
        <f t="shared" si="41"/>
        <v>#N/A</v>
      </c>
      <c r="AB151" s="213" t="e">
        <f t="shared" si="41"/>
        <v>#N/A</v>
      </c>
      <c r="AC151" s="213" t="e">
        <f t="shared" si="41"/>
        <v>#N/A</v>
      </c>
      <c r="AD151" s="213" t="e">
        <f t="shared" si="41"/>
        <v>#N/A</v>
      </c>
      <c r="AE151" s="213" t="e">
        <f t="shared" si="41"/>
        <v>#N/A</v>
      </c>
      <c r="AF151" s="213" t="e">
        <f t="shared" si="41"/>
        <v>#N/A</v>
      </c>
      <c r="AG151" s="213" t="e">
        <f t="shared" si="41"/>
        <v>#N/A</v>
      </c>
      <c r="AH151" s="213" t="e">
        <f t="shared" si="41"/>
        <v>#N/A</v>
      </c>
      <c r="AI151" s="213" t="e">
        <f t="shared" si="41"/>
        <v>#N/A</v>
      </c>
      <c r="AJ151" s="213" t="e">
        <f t="shared" si="41"/>
        <v>#N/A</v>
      </c>
      <c r="AK151" s="213" t="e">
        <f t="shared" si="41"/>
        <v>#N/A</v>
      </c>
      <c r="AL151" s="213" t="e">
        <f t="shared" si="41"/>
        <v>#N/A</v>
      </c>
      <c r="AM151" s="213" t="e">
        <f t="shared" si="41"/>
        <v>#N/A</v>
      </c>
      <c r="AN151" s="213" t="e">
        <f t="shared" si="41"/>
        <v>#N/A</v>
      </c>
      <c r="AO151" s="213" t="e">
        <f t="shared" si="41"/>
        <v>#N/A</v>
      </c>
      <c r="AP151" s="213" t="e">
        <f t="shared" si="41"/>
        <v>#N/A</v>
      </c>
      <c r="AQ151" s="213" t="e">
        <f t="shared" si="41"/>
        <v>#N/A</v>
      </c>
      <c r="AR151" s="213" t="e">
        <f t="shared" si="41"/>
        <v>#N/A</v>
      </c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6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4"/>
    </row>
    <row r="152" spans="19:98" x14ac:dyDescent="0.25">
      <c r="S152" s="164" t="s">
        <v>176</v>
      </c>
      <c r="T152" s="26" t="e">
        <f t="shared" ref="T152:AR152" si="42">IF(ISERROR($T$145),NA(),$T$145)</f>
        <v>#N/A</v>
      </c>
      <c r="U152" s="26" t="e">
        <f t="shared" si="42"/>
        <v>#N/A</v>
      </c>
      <c r="V152" s="26" t="e">
        <f t="shared" si="42"/>
        <v>#N/A</v>
      </c>
      <c r="W152" s="26" t="e">
        <f t="shared" si="42"/>
        <v>#N/A</v>
      </c>
      <c r="X152" s="26" t="e">
        <f t="shared" si="42"/>
        <v>#N/A</v>
      </c>
      <c r="Y152" s="26" t="e">
        <f t="shared" si="42"/>
        <v>#N/A</v>
      </c>
      <c r="Z152" s="26" t="e">
        <f t="shared" si="42"/>
        <v>#N/A</v>
      </c>
      <c r="AA152" s="26" t="e">
        <f t="shared" si="42"/>
        <v>#N/A</v>
      </c>
      <c r="AB152" s="26" t="e">
        <f t="shared" si="42"/>
        <v>#N/A</v>
      </c>
      <c r="AC152" s="26" t="e">
        <f t="shared" si="42"/>
        <v>#N/A</v>
      </c>
      <c r="AD152" s="26" t="e">
        <f t="shared" si="42"/>
        <v>#N/A</v>
      </c>
      <c r="AE152" s="26" t="e">
        <f t="shared" si="42"/>
        <v>#N/A</v>
      </c>
      <c r="AF152" s="26" t="e">
        <f t="shared" si="42"/>
        <v>#N/A</v>
      </c>
      <c r="AG152" s="26" t="e">
        <f t="shared" si="42"/>
        <v>#N/A</v>
      </c>
      <c r="AH152" s="26" t="e">
        <f t="shared" si="42"/>
        <v>#N/A</v>
      </c>
      <c r="AI152" s="26" t="e">
        <f t="shared" si="42"/>
        <v>#N/A</v>
      </c>
      <c r="AJ152" s="26" t="e">
        <f t="shared" si="42"/>
        <v>#N/A</v>
      </c>
      <c r="AK152" s="26" t="e">
        <f t="shared" si="42"/>
        <v>#N/A</v>
      </c>
      <c r="AL152" s="26" t="e">
        <f t="shared" si="42"/>
        <v>#N/A</v>
      </c>
      <c r="AM152" s="26" t="e">
        <f t="shared" si="42"/>
        <v>#N/A</v>
      </c>
      <c r="AN152" s="26" t="e">
        <f t="shared" si="42"/>
        <v>#N/A</v>
      </c>
      <c r="AO152" s="26" t="e">
        <f t="shared" si="42"/>
        <v>#N/A</v>
      </c>
      <c r="AP152" s="26" t="e">
        <f t="shared" si="42"/>
        <v>#N/A</v>
      </c>
      <c r="AQ152" s="26" t="e">
        <f t="shared" si="42"/>
        <v>#N/A</v>
      </c>
      <c r="AR152" s="26" t="e">
        <f t="shared" si="42"/>
        <v>#N/A</v>
      </c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</row>
    <row r="153" spans="19:98" x14ac:dyDescent="0.25">
      <c r="S153" s="26"/>
      <c r="T153" s="26">
        <v>1</v>
      </c>
      <c r="U153" s="26">
        <f t="shared" ref="U153:AR153" si="43">T153+1</f>
        <v>2</v>
      </c>
      <c r="V153" s="26">
        <f t="shared" si="43"/>
        <v>3</v>
      </c>
      <c r="W153" s="26">
        <f t="shared" si="43"/>
        <v>4</v>
      </c>
      <c r="X153" s="26">
        <f t="shared" si="43"/>
        <v>5</v>
      </c>
      <c r="Y153" s="26">
        <f t="shared" si="43"/>
        <v>6</v>
      </c>
      <c r="Z153" s="26">
        <f t="shared" si="43"/>
        <v>7</v>
      </c>
      <c r="AA153" s="26">
        <f t="shared" si="43"/>
        <v>8</v>
      </c>
      <c r="AB153" s="26">
        <f t="shared" si="43"/>
        <v>9</v>
      </c>
      <c r="AC153" s="26">
        <f t="shared" si="43"/>
        <v>10</v>
      </c>
      <c r="AD153" s="26">
        <f t="shared" si="43"/>
        <v>11</v>
      </c>
      <c r="AE153" s="26">
        <f t="shared" si="43"/>
        <v>12</v>
      </c>
      <c r="AF153" s="26">
        <f t="shared" si="43"/>
        <v>13</v>
      </c>
      <c r="AG153" s="26">
        <f t="shared" si="43"/>
        <v>14</v>
      </c>
      <c r="AH153" s="26">
        <f t="shared" si="43"/>
        <v>15</v>
      </c>
      <c r="AI153" s="26">
        <f t="shared" si="43"/>
        <v>16</v>
      </c>
      <c r="AJ153" s="26">
        <f t="shared" si="43"/>
        <v>17</v>
      </c>
      <c r="AK153" s="26">
        <f t="shared" si="43"/>
        <v>18</v>
      </c>
      <c r="AL153" s="26">
        <f t="shared" si="43"/>
        <v>19</v>
      </c>
      <c r="AM153" s="26">
        <f t="shared" si="43"/>
        <v>20</v>
      </c>
      <c r="AN153" s="26">
        <f t="shared" si="43"/>
        <v>21</v>
      </c>
      <c r="AO153" s="26">
        <f t="shared" si="43"/>
        <v>22</v>
      </c>
      <c r="AP153" s="26">
        <f t="shared" si="43"/>
        <v>23</v>
      </c>
      <c r="AQ153" s="26">
        <f t="shared" si="43"/>
        <v>24</v>
      </c>
      <c r="AR153" s="26">
        <f t="shared" si="43"/>
        <v>25</v>
      </c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</row>
    <row r="154" spans="19:98" x14ac:dyDescent="0.25"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</row>
    <row r="155" spans="19:98" x14ac:dyDescent="0.25"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</row>
    <row r="156" spans="19:98" x14ac:dyDescent="0.25"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</row>
    <row r="157" spans="19:98" x14ac:dyDescent="0.25"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</row>
    <row r="158" spans="19:98" x14ac:dyDescent="0.25"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</row>
    <row r="159" spans="19:98" x14ac:dyDescent="0.25"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</row>
    <row r="160" spans="19:98" x14ac:dyDescent="0.25"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</row>
    <row r="161" spans="1:75" x14ac:dyDescent="0.25"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</row>
    <row r="162" spans="1:75" x14ac:dyDescent="0.25"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</row>
    <row r="163" spans="1:75" x14ac:dyDescent="0.25">
      <c r="X163" s="12"/>
      <c r="Y163" s="12"/>
    </row>
    <row r="164" spans="1:75" x14ac:dyDescent="0.25">
      <c r="X164" s="12"/>
      <c r="Y164" s="12"/>
    </row>
    <row r="165" spans="1:75" x14ac:dyDescent="0.25">
      <c r="X165" s="12"/>
      <c r="Y165" s="12"/>
    </row>
    <row r="166" spans="1:75" x14ac:dyDescent="0.25">
      <c r="X166" s="12"/>
      <c r="Y166" s="12"/>
    </row>
    <row r="167" spans="1:75" ht="13.8" thickBot="1" x14ac:dyDescent="0.3">
      <c r="X167" s="12"/>
      <c r="Y167" s="12"/>
    </row>
    <row r="168" spans="1:75" x14ac:dyDescent="0.25">
      <c r="A168" s="133"/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6"/>
      <c r="M168" s="136"/>
      <c r="N168" s="136"/>
      <c r="O168" s="136"/>
      <c r="P168" s="137"/>
      <c r="Q168" s="137"/>
      <c r="R168" s="138"/>
      <c r="S168" s="138"/>
      <c r="T168" s="138"/>
      <c r="U168" s="138"/>
      <c r="V168" s="138"/>
      <c r="W168" s="139"/>
      <c r="X168" s="12"/>
      <c r="Y168" s="12"/>
    </row>
    <row r="169" spans="1:75" x14ac:dyDescent="0.25">
      <c r="A169" s="140"/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5"/>
      <c r="M169" s="5"/>
      <c r="N169" s="5"/>
      <c r="O169" s="5"/>
      <c r="P169" s="20"/>
      <c r="Q169" s="20"/>
      <c r="R169" s="88"/>
      <c r="S169" s="88"/>
      <c r="T169" s="88"/>
      <c r="U169" s="88"/>
      <c r="V169" s="88"/>
      <c r="W169" s="143"/>
      <c r="X169" s="12"/>
      <c r="Y169" s="12"/>
    </row>
    <row r="170" spans="1:75" x14ac:dyDescent="0.25">
      <c r="A170" s="144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143"/>
      <c r="X170" s="12"/>
      <c r="Y170" s="12"/>
    </row>
    <row r="171" spans="1:75" x14ac:dyDescent="0.25">
      <c r="A171" s="144"/>
      <c r="B171" s="88"/>
      <c r="C171" s="76" t="s">
        <v>20</v>
      </c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 t="str">
        <f ca="1">IF(SPC!P5="","",IF(SPC!U47&gt;0,"FAILED",IF(SPC!W47&gt;0,"FAILED",IF(SPC!U47=0,"Process output without usual defects",IF(SPC!W47=0,"Process output without usual defects")))))</f>
        <v>Process output without usual defects</v>
      </c>
      <c r="O171" s="88"/>
      <c r="P171" s="88" t="s">
        <v>159</v>
      </c>
      <c r="Q171" s="88"/>
      <c r="R171" s="88"/>
      <c r="S171" s="145">
        <f ca="1">SPC!U47</f>
        <v>0</v>
      </c>
      <c r="T171" s="88" t="s">
        <v>161</v>
      </c>
      <c r="U171" s="88"/>
      <c r="V171" s="88"/>
      <c r="W171" s="143"/>
      <c r="X171" s="12"/>
      <c r="Y171" s="12"/>
    </row>
    <row r="172" spans="1:75" x14ac:dyDescent="0.25">
      <c r="A172" s="144"/>
      <c r="B172" s="88"/>
      <c r="C172" s="76" t="s">
        <v>21</v>
      </c>
      <c r="D172" s="88"/>
      <c r="E172" s="88"/>
      <c r="F172" s="88"/>
      <c r="G172" s="88"/>
      <c r="H172" s="88"/>
      <c r="I172" s="88"/>
      <c r="J172" s="88"/>
      <c r="K172" s="88"/>
      <c r="L172" s="88" t="s">
        <v>35</v>
      </c>
      <c r="M172" s="88"/>
      <c r="N172" s="146"/>
      <c r="O172" s="88"/>
      <c r="P172" s="88" t="s">
        <v>160</v>
      </c>
      <c r="Q172" s="88"/>
      <c r="R172" s="88"/>
      <c r="S172" s="88"/>
      <c r="T172" s="145">
        <f ca="1">SPC!W47</f>
        <v>0</v>
      </c>
      <c r="U172" s="88" t="s">
        <v>161</v>
      </c>
      <c r="V172" s="88"/>
      <c r="W172" s="143"/>
      <c r="X172" s="12"/>
      <c r="Y172" s="12"/>
    </row>
    <row r="173" spans="1:75" x14ac:dyDescent="0.25">
      <c r="A173" s="144"/>
      <c r="B173" s="88"/>
      <c r="C173" s="76" t="s">
        <v>22</v>
      </c>
      <c r="D173" s="88"/>
      <c r="E173" s="88"/>
      <c r="F173" s="88"/>
      <c r="G173" s="88"/>
      <c r="H173" s="88"/>
      <c r="I173" s="88"/>
      <c r="J173" s="88"/>
      <c r="K173" s="88"/>
      <c r="L173" s="88">
        <f ca="1">IF(SPC!U47&gt;0%,1,0)</f>
        <v>0</v>
      </c>
      <c r="M173" s="88">
        <f ca="1">IF(AND(L173=1,L174=0),1,0)</f>
        <v>0</v>
      </c>
      <c r="N173" s="88" t="str">
        <f ca="1">IF(M173=1,CONCATENATE(P171,S171*100,T171),"")</f>
        <v/>
      </c>
      <c r="O173" s="88"/>
      <c r="P173" s="88"/>
      <c r="Q173" s="88"/>
      <c r="R173" s="88"/>
      <c r="S173" s="88"/>
      <c r="T173" s="88"/>
      <c r="U173" s="88" t="s">
        <v>162</v>
      </c>
      <c r="V173" s="88"/>
      <c r="W173" s="143"/>
      <c r="X173" s="12"/>
      <c r="Y173" s="12"/>
    </row>
    <row r="174" spans="1:75" x14ac:dyDescent="0.25">
      <c r="A174" s="144"/>
      <c r="B174" s="88"/>
      <c r="C174" s="147">
        <v>1000</v>
      </c>
      <c r="D174" s="88"/>
      <c r="E174" s="88"/>
      <c r="F174" s="88"/>
      <c r="G174" s="88"/>
      <c r="H174" s="88"/>
      <c r="I174" s="88"/>
      <c r="J174" s="88"/>
      <c r="K174" s="88"/>
      <c r="L174" s="88">
        <f ca="1">IF(SPC!W47&gt;0%,1,0)</f>
        <v>0</v>
      </c>
      <c r="M174" s="88">
        <f ca="1">IF(AND(L173=0,L174=1),1,0)</f>
        <v>0</v>
      </c>
      <c r="N174" s="88" t="str">
        <f ca="1">IF(M174=1,CONCATENATE(P172,T172*100,U172),"")</f>
        <v/>
      </c>
      <c r="O174" s="88"/>
      <c r="P174" s="88"/>
      <c r="Q174" s="88"/>
      <c r="R174" s="88"/>
      <c r="S174" s="88"/>
      <c r="T174" s="88"/>
      <c r="U174" s="88"/>
      <c r="V174" s="88"/>
      <c r="W174" s="143"/>
      <c r="X174" s="12"/>
      <c r="Y174" s="12"/>
    </row>
    <row r="175" spans="1:75" x14ac:dyDescent="0.25">
      <c r="A175" s="144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>
        <f ca="1">IF(AND(L173=1,L174=1),1,0)</f>
        <v>0</v>
      </c>
      <c r="N175" s="88" t="str">
        <f ca="1">CONCATENATE(P171,S171*100,T171,U173,P172,T172*100,U172)</f>
        <v xml:space="preserve">Process produced 0% defects. and Process could generate 0% defects. </v>
      </c>
      <c r="O175" s="88"/>
      <c r="P175" s="88"/>
      <c r="Q175" s="88"/>
      <c r="R175" s="88"/>
      <c r="S175" s="88"/>
      <c r="T175" s="88"/>
      <c r="U175" s="88"/>
      <c r="V175" s="88"/>
      <c r="W175" s="143"/>
      <c r="X175" s="12"/>
      <c r="Y175" s="12"/>
    </row>
    <row r="176" spans="1:75" x14ac:dyDescent="0.25">
      <c r="A176" s="144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143"/>
      <c r="X176" s="12"/>
      <c r="Y176" s="12"/>
    </row>
    <row r="177" spans="1:25" x14ac:dyDescent="0.25">
      <c r="A177" s="144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143"/>
      <c r="X177" s="12"/>
      <c r="Y177" s="12"/>
    </row>
    <row r="178" spans="1:25" x14ac:dyDescent="0.25">
      <c r="A178" s="144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143"/>
      <c r="X178" s="12"/>
      <c r="Y178" s="12"/>
    </row>
    <row r="179" spans="1:25" x14ac:dyDescent="0.25">
      <c r="A179" s="144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143"/>
      <c r="X179" s="12"/>
      <c r="Y179" s="12"/>
    </row>
    <row r="180" spans="1:25" x14ac:dyDescent="0.25">
      <c r="A180" s="383" t="s">
        <v>7</v>
      </c>
      <c r="B180" s="384"/>
      <c r="C180" s="384"/>
      <c r="D180" s="89">
        <f ca="1">ROUND(1/(10^(E180)),E180)</f>
        <v>1E-3</v>
      </c>
      <c r="E180" s="90">
        <f ca="1">MID(CELL("format",SPC!$C$32),2,1)+1</f>
        <v>3</v>
      </c>
      <c r="F180" s="104"/>
      <c r="G180" s="91" t="s">
        <v>6</v>
      </c>
      <c r="H180" s="104"/>
      <c r="I180" s="104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143"/>
      <c r="X180" s="12"/>
      <c r="Y180" s="12"/>
    </row>
    <row r="181" spans="1:25" x14ac:dyDescent="0.25">
      <c r="A181" s="383" t="s">
        <v>8</v>
      </c>
      <c r="B181" s="384"/>
      <c r="C181" s="384"/>
      <c r="D181" s="92">
        <f>COUNT(SPC!$C37:$BA37)</f>
        <v>51</v>
      </c>
      <c r="E181" s="93"/>
      <c r="F181" s="104"/>
      <c r="G181" s="94">
        <f>STDEV(SPC!C37:BA37)</f>
        <v>5.789012960461087E-3</v>
      </c>
      <c r="H181" s="104"/>
      <c r="I181" s="104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143"/>
      <c r="X181" s="12"/>
      <c r="Y181" s="12"/>
    </row>
    <row r="182" spans="1:25" x14ac:dyDescent="0.25">
      <c r="A182" s="383" t="s">
        <v>9</v>
      </c>
      <c r="B182" s="384"/>
      <c r="C182" s="384"/>
      <c r="D182" s="92">
        <f ca="1">ROUND(AVERAGE(SPC!$C37:$BA37),E180)</f>
        <v>17.228999999999999</v>
      </c>
      <c r="E182" s="93"/>
      <c r="F182" s="104"/>
      <c r="G182" s="104"/>
      <c r="H182" s="104"/>
      <c r="I182" s="104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143"/>
      <c r="X182" s="98"/>
      <c r="Y182" s="12"/>
    </row>
    <row r="183" spans="1:25" x14ac:dyDescent="0.25">
      <c r="A183" s="383" t="s">
        <v>10</v>
      </c>
      <c r="B183" s="384"/>
      <c r="C183" s="384"/>
      <c r="D183" s="92">
        <f>MIN(SPC!$C37:$BA37)</f>
        <v>17.222663910821439</v>
      </c>
      <c r="E183" s="93"/>
      <c r="F183" s="104"/>
      <c r="G183" s="104"/>
      <c r="H183" s="104"/>
      <c r="I183" s="104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143"/>
      <c r="X183" s="12"/>
      <c r="Y183" s="12"/>
    </row>
    <row r="184" spans="1:25" x14ac:dyDescent="0.25">
      <c r="A184" s="383" t="s">
        <v>11</v>
      </c>
      <c r="B184" s="384"/>
      <c r="C184" s="384"/>
      <c r="D184" s="92">
        <f>MAX(SPC!$C37:$BA37)</f>
        <v>17.236359515325198</v>
      </c>
      <c r="E184" s="93"/>
      <c r="F184" s="104"/>
      <c r="G184" s="104"/>
      <c r="H184" s="104"/>
      <c r="I184" s="104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143"/>
      <c r="X184" s="12"/>
      <c r="Y184" s="12"/>
    </row>
    <row r="185" spans="1:25" x14ac:dyDescent="0.25">
      <c r="A185" s="383" t="s">
        <v>12</v>
      </c>
      <c r="B185" s="384"/>
      <c r="C185" s="384"/>
      <c r="D185" s="92">
        <f ca="1">ROUND(MAX($D$184,SPC!$AH$5)-MIN($D$183,SPC!$AH$3),E180)</f>
        <v>0.2</v>
      </c>
      <c r="E185" s="93"/>
      <c r="F185" s="104"/>
      <c r="G185" s="104"/>
      <c r="H185" s="104"/>
      <c r="I185" s="104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143"/>
      <c r="X185" s="12"/>
      <c r="Y185" s="12"/>
    </row>
    <row r="186" spans="1:25" x14ac:dyDescent="0.25">
      <c r="A186" s="385" t="s">
        <v>13</v>
      </c>
      <c r="B186" s="386"/>
      <c r="C186" s="386"/>
      <c r="D186" s="93">
        <f>C174</f>
        <v>1000</v>
      </c>
      <c r="E186" s="93"/>
      <c r="F186" s="104"/>
      <c r="G186" s="104"/>
      <c r="H186" s="104"/>
      <c r="I186" s="104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143"/>
      <c r="X186" s="12"/>
      <c r="Y186" s="12"/>
    </row>
    <row r="187" spans="1:25" x14ac:dyDescent="0.25">
      <c r="A187" s="385" t="s">
        <v>14</v>
      </c>
      <c r="B187" s="386"/>
      <c r="C187" s="386"/>
      <c r="D187" s="93">
        <f ca="1">ROUND((MAX(D$184,SPC!AH$5)-D$189)/D$188+1,)</f>
        <v>203</v>
      </c>
      <c r="E187" s="93"/>
      <c r="F187" s="104"/>
      <c r="G187" s="104"/>
      <c r="H187" s="104"/>
      <c r="I187" s="104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143"/>
      <c r="X187" s="12"/>
      <c r="Y187" s="12"/>
    </row>
    <row r="188" spans="1:25" x14ac:dyDescent="0.25">
      <c r="A188" s="385" t="s">
        <v>15</v>
      </c>
      <c r="B188" s="386"/>
      <c r="C188" s="386"/>
      <c r="D188" s="90">
        <f ca="1">MAX(D$180,ROUND((D$185)/D186,E$180))</f>
        <v>1E-3</v>
      </c>
      <c r="E188" s="93"/>
      <c r="F188" s="104"/>
      <c r="G188" s="104"/>
      <c r="H188" s="104"/>
      <c r="I188" s="104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143"/>
      <c r="X188" s="12"/>
      <c r="Y188" s="12"/>
    </row>
    <row r="189" spans="1:25" x14ac:dyDescent="0.25">
      <c r="A189" s="385" t="s">
        <v>16</v>
      </c>
      <c r="B189" s="386"/>
      <c r="C189" s="386"/>
      <c r="D189" s="92">
        <f ca="1">MIN(D183,SPC!AH3)-$D$188-$D$180/2</f>
        <v>17.198499999999999</v>
      </c>
      <c r="E189" s="93"/>
      <c r="F189" s="104"/>
      <c r="G189" s="104"/>
      <c r="H189" s="104"/>
      <c r="I189" s="104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143"/>
      <c r="X189" s="12"/>
      <c r="Y189" s="12"/>
    </row>
    <row r="190" spans="1:25" x14ac:dyDescent="0.25">
      <c r="A190" s="144"/>
      <c r="B190" s="88"/>
      <c r="C190" s="104" t="s">
        <v>65</v>
      </c>
      <c r="D190" s="104" t="s">
        <v>17</v>
      </c>
      <c r="E190" s="104" t="s">
        <v>18</v>
      </c>
      <c r="F190" s="104" t="s">
        <v>120</v>
      </c>
      <c r="G190" s="104" t="s">
        <v>19</v>
      </c>
      <c r="H190" s="104"/>
      <c r="I190" s="95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143"/>
      <c r="X190" s="12"/>
      <c r="Y190" s="12"/>
    </row>
    <row r="191" spans="1:25" x14ac:dyDescent="0.25">
      <c r="A191" s="144"/>
      <c r="B191" s="148"/>
      <c r="C191" s="93">
        <v>0</v>
      </c>
      <c r="D191" s="197"/>
      <c r="E191" s="197">
        <f ca="1">D189</f>
        <v>17.198499999999999</v>
      </c>
      <c r="F191" s="93"/>
      <c r="G191" s="93">
        <v>0</v>
      </c>
      <c r="H191" s="93">
        <f t="shared" ref="H191:H222" ca="1" si="44">IF(G$181&lt;&gt;0,NORMDIST(D$189+C191*D$188-D$188/2,D$182,G$181,FALSE),D191)</f>
        <v>4.0874446060556996E-5</v>
      </c>
      <c r="I191" s="96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143"/>
      <c r="X191" s="12"/>
      <c r="Y191" s="12"/>
    </row>
    <row r="192" spans="1:25" x14ac:dyDescent="0.25">
      <c r="A192" s="144"/>
      <c r="B192" s="148"/>
      <c r="C192" s="93">
        <f t="shared" ref="C192:C223" si="45">C191+1</f>
        <v>1</v>
      </c>
      <c r="D192" s="197">
        <f t="shared" ref="D192:D223" ca="1" si="46">E191</f>
        <v>17.198499999999999</v>
      </c>
      <c r="E192" s="197">
        <f t="shared" ref="E192:E223" ca="1" si="47">D192+$D$188</f>
        <v>17.1995</v>
      </c>
      <c r="F192" s="93" t="str">
        <f t="shared" ref="F192:F223" ca="1" si="48">FIXED(D192,$E$180)&amp;" to "&amp;FIXED(E192,$E$180)</f>
        <v>17.199 to 17.200</v>
      </c>
      <c r="G192" s="97">
        <f ca="1">COUNTIF(SPC!$C$37:$BA$37,"&lt;="&amp;E192)-COUNTIF(SPC!$C$37:$BA$37,"&lt;="&amp;D192)</f>
        <v>0</v>
      </c>
      <c r="H192" s="93">
        <f t="shared" ca="1" si="44"/>
        <v>1.0155582022650148E-4</v>
      </c>
      <c r="I192" s="96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143"/>
      <c r="X192" s="12"/>
      <c r="Y192" s="12"/>
    </row>
    <row r="193" spans="1:25" x14ac:dyDescent="0.25">
      <c r="A193" s="144"/>
      <c r="B193" s="148"/>
      <c r="C193" s="93">
        <f t="shared" si="45"/>
        <v>2</v>
      </c>
      <c r="D193" s="197">
        <f t="shared" ca="1" si="46"/>
        <v>17.1995</v>
      </c>
      <c r="E193" s="197">
        <f t="shared" ca="1" si="47"/>
        <v>17.200500000000002</v>
      </c>
      <c r="F193" s="93" t="str">
        <f t="shared" ca="1" si="48"/>
        <v>17.200 to 17.201</v>
      </c>
      <c r="G193" s="97">
        <f ca="1">COUNTIF(SPC!$C$37:$BA$37,"&lt;="&amp;E193)-COUNTIF(SPC!$C$37:$BA$37,"&lt;="&amp;D193)</f>
        <v>0</v>
      </c>
      <c r="H193" s="93">
        <f t="shared" ca="1" si="44"/>
        <v>2.4490555922913399E-4</v>
      </c>
      <c r="I193" s="96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143"/>
      <c r="X193" s="12"/>
      <c r="Y193" s="12"/>
    </row>
    <row r="194" spans="1:25" x14ac:dyDescent="0.25">
      <c r="A194" s="144"/>
      <c r="B194" s="148"/>
      <c r="C194" s="93">
        <f t="shared" si="45"/>
        <v>3</v>
      </c>
      <c r="D194" s="197">
        <f t="shared" ca="1" si="46"/>
        <v>17.200500000000002</v>
      </c>
      <c r="E194" s="197">
        <f t="shared" ca="1" si="47"/>
        <v>17.201500000000003</v>
      </c>
      <c r="F194" s="93" t="str">
        <f t="shared" ca="1" si="48"/>
        <v>17.201 to 17.202</v>
      </c>
      <c r="G194" s="97">
        <f ca="1">COUNTIF(SPC!$C$37:$BA$37,"&lt;="&amp;E194)-COUNTIF(SPC!$C$37:$BA$37,"&lt;="&amp;D194)</f>
        <v>0</v>
      </c>
      <c r="H194" s="93">
        <f t="shared" ca="1" si="44"/>
        <v>5.7323586703861978E-4</v>
      </c>
      <c r="I194" s="96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143"/>
      <c r="X194" s="12"/>
      <c r="Y194" s="12"/>
    </row>
    <row r="195" spans="1:25" x14ac:dyDescent="0.25">
      <c r="A195" s="144"/>
      <c r="B195" s="148"/>
      <c r="C195" s="93">
        <f t="shared" si="45"/>
        <v>4</v>
      </c>
      <c r="D195" s="197">
        <f t="shared" ca="1" si="46"/>
        <v>17.201500000000003</v>
      </c>
      <c r="E195" s="197">
        <f t="shared" ca="1" si="47"/>
        <v>17.202500000000004</v>
      </c>
      <c r="F195" s="93" t="str">
        <f t="shared" ca="1" si="48"/>
        <v>17.202 to 17.203</v>
      </c>
      <c r="G195" s="97">
        <f ca="1">COUNTIF(SPC!$C$37:$BA$37,"&lt;="&amp;E195)-COUNTIF(SPC!$C$37:$BA$37,"&lt;="&amp;D195)</f>
        <v>0</v>
      </c>
      <c r="H195" s="93">
        <f t="shared" ca="1" si="44"/>
        <v>1.3022937492690122E-3</v>
      </c>
      <c r="I195" s="96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143"/>
      <c r="X195" s="12"/>
      <c r="Y195" s="12"/>
    </row>
    <row r="196" spans="1:25" x14ac:dyDescent="0.25">
      <c r="A196" s="144"/>
      <c r="B196" s="148"/>
      <c r="C196" s="93">
        <f t="shared" si="45"/>
        <v>5</v>
      </c>
      <c r="D196" s="197">
        <f t="shared" ca="1" si="46"/>
        <v>17.202500000000004</v>
      </c>
      <c r="E196" s="197">
        <f t="shared" ca="1" si="47"/>
        <v>17.203500000000005</v>
      </c>
      <c r="F196" s="93" t="str">
        <f t="shared" ca="1" si="48"/>
        <v>17.203 to 17.204</v>
      </c>
      <c r="G196" s="97">
        <f ca="1">COUNTIF(SPC!$C$37:$BA$37,"&lt;="&amp;E196)-COUNTIF(SPC!$C$37:$BA$37,"&lt;="&amp;D196)</f>
        <v>0</v>
      </c>
      <c r="H196" s="93">
        <f t="shared" ca="1" si="44"/>
        <v>2.8716099087034031E-3</v>
      </c>
      <c r="I196" s="96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143"/>
      <c r="X196" s="12"/>
      <c r="Y196" s="12"/>
    </row>
    <row r="197" spans="1:25" x14ac:dyDescent="0.25">
      <c r="A197" s="144"/>
      <c r="B197" s="148"/>
      <c r="C197" s="93">
        <f t="shared" si="45"/>
        <v>6</v>
      </c>
      <c r="D197" s="197">
        <f t="shared" ca="1" si="46"/>
        <v>17.203500000000005</v>
      </c>
      <c r="E197" s="197">
        <f t="shared" ca="1" si="47"/>
        <v>17.204500000000007</v>
      </c>
      <c r="F197" s="93" t="str">
        <f t="shared" ca="1" si="48"/>
        <v>17.204 to 17.205</v>
      </c>
      <c r="G197" s="97">
        <f ca="1">COUNTIF(SPC!$C$37:$BA$37,"&lt;="&amp;E197)-COUNTIF(SPC!$C$37:$BA$37,"&lt;="&amp;D197)</f>
        <v>0</v>
      </c>
      <c r="H197" s="93">
        <f t="shared" ca="1" si="44"/>
        <v>6.1458621891807364E-3</v>
      </c>
      <c r="I197" s="96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143"/>
      <c r="X197" s="12"/>
      <c r="Y197" s="12"/>
    </row>
    <row r="198" spans="1:25" x14ac:dyDescent="0.25">
      <c r="A198" s="144"/>
      <c r="B198" s="148"/>
      <c r="C198" s="93">
        <f t="shared" si="45"/>
        <v>7</v>
      </c>
      <c r="D198" s="197">
        <f t="shared" ca="1" si="46"/>
        <v>17.204500000000007</v>
      </c>
      <c r="E198" s="197">
        <f t="shared" ca="1" si="47"/>
        <v>17.205500000000008</v>
      </c>
      <c r="F198" s="93" t="str">
        <f t="shared" ca="1" si="48"/>
        <v>17.205 to 17.206</v>
      </c>
      <c r="G198" s="97">
        <f ca="1">COUNTIF(SPC!$C$37:$BA$37,"&lt;="&amp;E198)-COUNTIF(SPC!$C$37:$BA$37,"&lt;="&amp;D198)</f>
        <v>0</v>
      </c>
      <c r="H198" s="93">
        <f t="shared" ca="1" si="44"/>
        <v>1.2766771323421728E-2</v>
      </c>
      <c r="I198" s="96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143"/>
      <c r="X198" s="12"/>
      <c r="Y198" s="12"/>
    </row>
    <row r="199" spans="1:25" x14ac:dyDescent="0.25">
      <c r="A199" s="144"/>
      <c r="B199" s="148"/>
      <c r="C199" s="93">
        <f t="shared" si="45"/>
        <v>8</v>
      </c>
      <c r="D199" s="197">
        <f t="shared" ca="1" si="46"/>
        <v>17.205500000000008</v>
      </c>
      <c r="E199" s="197">
        <f t="shared" ca="1" si="47"/>
        <v>17.206500000000009</v>
      </c>
      <c r="F199" s="93" t="str">
        <f t="shared" ca="1" si="48"/>
        <v>17.206 to 17.207</v>
      </c>
      <c r="G199" s="97">
        <f ca="1">COUNTIF(SPC!$C$37:$BA$37,"&lt;="&amp;E199)-COUNTIF(SPC!$C$37:$BA$37,"&lt;="&amp;D199)</f>
        <v>0</v>
      </c>
      <c r="H199" s="93">
        <f t="shared" ca="1" si="44"/>
        <v>2.574069261421039E-2</v>
      </c>
      <c r="I199" s="96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143"/>
      <c r="X199" s="12"/>
      <c r="Y199" s="12"/>
    </row>
    <row r="200" spans="1:25" x14ac:dyDescent="0.25">
      <c r="A200" s="144"/>
      <c r="B200" s="148"/>
      <c r="C200" s="93">
        <f t="shared" si="45"/>
        <v>9</v>
      </c>
      <c r="D200" s="197">
        <f t="shared" ca="1" si="46"/>
        <v>17.206500000000009</v>
      </c>
      <c r="E200" s="197">
        <f t="shared" ca="1" si="47"/>
        <v>17.20750000000001</v>
      </c>
      <c r="F200" s="93" t="str">
        <f t="shared" ca="1" si="48"/>
        <v>17.207 to 17.208</v>
      </c>
      <c r="G200" s="97">
        <f ca="1">COUNTIF(SPC!$C$37:$BA$37,"&lt;="&amp;E200)-COUNTIF(SPC!$C$37:$BA$37,"&lt;="&amp;D200)</f>
        <v>0</v>
      </c>
      <c r="H200" s="93">
        <f t="shared" ca="1" si="44"/>
        <v>5.0373283985044849E-2</v>
      </c>
      <c r="I200" s="96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143"/>
      <c r="X200" s="12"/>
      <c r="Y200" s="12"/>
    </row>
    <row r="201" spans="1:25" x14ac:dyDescent="0.25">
      <c r="A201" s="144"/>
      <c r="B201" s="148"/>
      <c r="C201" s="93">
        <f t="shared" si="45"/>
        <v>10</v>
      </c>
      <c r="D201" s="197">
        <f t="shared" ca="1" si="46"/>
        <v>17.20750000000001</v>
      </c>
      <c r="E201" s="197">
        <f t="shared" ca="1" si="47"/>
        <v>17.208500000000011</v>
      </c>
      <c r="F201" s="93" t="str">
        <f t="shared" ca="1" si="48"/>
        <v>17.208 to 17.209</v>
      </c>
      <c r="G201" s="97">
        <f ca="1">COUNTIF(SPC!$C$37:$BA$37,"&lt;="&amp;E201)-COUNTIF(SPC!$C$37:$BA$37,"&lt;="&amp;D201)</f>
        <v>0</v>
      </c>
      <c r="H201" s="93">
        <f t="shared" ca="1" si="44"/>
        <v>9.5680004771859339E-2</v>
      </c>
      <c r="I201" s="96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143"/>
      <c r="X201" s="12"/>
      <c r="Y201" s="12"/>
    </row>
    <row r="202" spans="1:25" x14ac:dyDescent="0.25">
      <c r="A202" s="144"/>
      <c r="B202" s="148"/>
      <c r="C202" s="93">
        <f t="shared" si="45"/>
        <v>11</v>
      </c>
      <c r="D202" s="197">
        <f t="shared" ca="1" si="46"/>
        <v>17.208500000000011</v>
      </c>
      <c r="E202" s="197">
        <f t="shared" ca="1" si="47"/>
        <v>17.209500000000013</v>
      </c>
      <c r="F202" s="93" t="str">
        <f t="shared" ca="1" si="48"/>
        <v>17.209 to 17.210</v>
      </c>
      <c r="G202" s="97">
        <f ca="1">COUNTIF(SPC!$C$37:$BA$37,"&lt;="&amp;E202)-COUNTIF(SPC!$C$37:$BA$37,"&lt;="&amp;D202)</f>
        <v>0</v>
      </c>
      <c r="H202" s="93">
        <f t="shared" ca="1" si="44"/>
        <v>0.17639367122120206</v>
      </c>
      <c r="I202" s="96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143"/>
      <c r="X202" s="12"/>
      <c r="Y202" s="12"/>
    </row>
    <row r="203" spans="1:25" x14ac:dyDescent="0.25">
      <c r="A203" s="144"/>
      <c r="B203" s="148"/>
      <c r="C203" s="93">
        <f t="shared" si="45"/>
        <v>12</v>
      </c>
      <c r="D203" s="197">
        <f t="shared" ca="1" si="46"/>
        <v>17.209500000000013</v>
      </c>
      <c r="E203" s="197">
        <f t="shared" ca="1" si="47"/>
        <v>17.210500000000014</v>
      </c>
      <c r="F203" s="93" t="str">
        <f t="shared" ca="1" si="48"/>
        <v>17.210 to 17.211</v>
      </c>
      <c r="G203" s="97">
        <f ca="1">COUNTIF(SPC!$C$37:$BA$37,"&lt;="&amp;E203)-COUNTIF(SPC!$C$37:$BA$37,"&lt;="&amp;D203)</f>
        <v>0</v>
      </c>
      <c r="H203" s="93">
        <f t="shared" ca="1" si="44"/>
        <v>0.31563539405488572</v>
      </c>
      <c r="I203" s="96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143"/>
      <c r="X203" s="12"/>
      <c r="Y203" s="12"/>
    </row>
    <row r="204" spans="1:25" x14ac:dyDescent="0.25">
      <c r="A204" s="144"/>
      <c r="B204" s="148"/>
      <c r="C204" s="93">
        <f t="shared" si="45"/>
        <v>13</v>
      </c>
      <c r="D204" s="197">
        <f t="shared" ca="1" si="46"/>
        <v>17.210500000000014</v>
      </c>
      <c r="E204" s="197">
        <f t="shared" ca="1" si="47"/>
        <v>17.211500000000015</v>
      </c>
      <c r="F204" s="93" t="str">
        <f t="shared" ca="1" si="48"/>
        <v>17.211 to 17.212</v>
      </c>
      <c r="G204" s="97">
        <f ca="1">COUNTIF(SPC!$C$37:$BA$37,"&lt;="&amp;E204)-COUNTIF(SPC!$C$37:$BA$37,"&lt;="&amp;D204)</f>
        <v>0</v>
      </c>
      <c r="H204" s="93">
        <f t="shared" ca="1" si="44"/>
        <v>0.54818769477442164</v>
      </c>
      <c r="I204" s="96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143"/>
      <c r="X204" s="12"/>
      <c r="Y204" s="12"/>
    </row>
    <row r="205" spans="1:25" x14ac:dyDescent="0.25">
      <c r="A205" s="144"/>
      <c r="B205" s="148"/>
      <c r="C205" s="93">
        <f t="shared" si="45"/>
        <v>14</v>
      </c>
      <c r="D205" s="197">
        <f t="shared" ca="1" si="46"/>
        <v>17.211500000000015</v>
      </c>
      <c r="E205" s="197">
        <f t="shared" ca="1" si="47"/>
        <v>17.212500000000016</v>
      </c>
      <c r="F205" s="93" t="str">
        <f t="shared" ca="1" si="48"/>
        <v>17.212 to 17.213</v>
      </c>
      <c r="G205" s="97">
        <f ca="1">COUNTIF(SPC!$C$37:$BA$37,"&lt;="&amp;E205)-COUNTIF(SPC!$C$37:$BA$37,"&lt;="&amp;D205)</f>
        <v>0</v>
      </c>
      <c r="H205" s="93">
        <f t="shared" ca="1" si="44"/>
        <v>0.9240889036737886</v>
      </c>
      <c r="I205" s="96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143"/>
      <c r="X205" s="12"/>
      <c r="Y205" s="12"/>
    </row>
    <row r="206" spans="1:25" x14ac:dyDescent="0.25">
      <c r="A206" s="144"/>
      <c r="B206" s="148"/>
      <c r="C206" s="93">
        <f t="shared" si="45"/>
        <v>15</v>
      </c>
      <c r="D206" s="197">
        <f t="shared" ca="1" si="46"/>
        <v>17.212500000000016</v>
      </c>
      <c r="E206" s="197">
        <f t="shared" ca="1" si="47"/>
        <v>17.213500000000018</v>
      </c>
      <c r="F206" s="93" t="str">
        <f t="shared" ca="1" si="48"/>
        <v>17.213 to 17.214</v>
      </c>
      <c r="G206" s="97">
        <f ca="1">COUNTIF(SPC!$C$37:$BA$37,"&lt;="&amp;E206)-COUNTIF(SPC!$C$37:$BA$37,"&lt;="&amp;D206)</f>
        <v>0</v>
      </c>
      <c r="H206" s="93">
        <f t="shared" ca="1" si="44"/>
        <v>1.5119558694291784</v>
      </c>
      <c r="I206" s="96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143"/>
      <c r="X206" s="12"/>
      <c r="Y206" s="12"/>
    </row>
    <row r="207" spans="1:25" x14ac:dyDescent="0.25">
      <c r="A207" s="144"/>
      <c r="B207" s="148"/>
      <c r="C207" s="93">
        <f t="shared" si="45"/>
        <v>16</v>
      </c>
      <c r="D207" s="197">
        <f t="shared" ca="1" si="46"/>
        <v>17.213500000000018</v>
      </c>
      <c r="E207" s="197">
        <f t="shared" ca="1" si="47"/>
        <v>17.214500000000019</v>
      </c>
      <c r="F207" s="93" t="str">
        <f t="shared" ca="1" si="48"/>
        <v>17.214 to 17.215</v>
      </c>
      <c r="G207" s="97">
        <f ca="1">COUNTIF(SPC!$C$37:$BA$37,"&lt;="&amp;E207)-COUNTIF(SPC!$C$37:$BA$37,"&lt;="&amp;D207)</f>
        <v>0</v>
      </c>
      <c r="H207" s="93">
        <f t="shared" ca="1" si="44"/>
        <v>2.4010729908996877</v>
      </c>
      <c r="I207" s="96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143"/>
      <c r="X207" s="12"/>
      <c r="Y207" s="12"/>
    </row>
    <row r="208" spans="1:25" x14ac:dyDescent="0.25">
      <c r="A208" s="144"/>
      <c r="B208" s="148"/>
      <c r="C208" s="93">
        <f t="shared" si="45"/>
        <v>17</v>
      </c>
      <c r="D208" s="197">
        <f t="shared" ca="1" si="46"/>
        <v>17.214500000000019</v>
      </c>
      <c r="E208" s="197">
        <f t="shared" ca="1" si="47"/>
        <v>17.21550000000002</v>
      </c>
      <c r="F208" s="93" t="str">
        <f t="shared" ca="1" si="48"/>
        <v>17.215 to 17.216</v>
      </c>
      <c r="G208" s="97">
        <f ca="1">COUNTIF(SPC!$C$37:$BA$37,"&lt;="&amp;E208)-COUNTIF(SPC!$C$37:$BA$37,"&lt;="&amp;D208)</f>
        <v>0</v>
      </c>
      <c r="H208" s="93">
        <f t="shared" ca="1" si="44"/>
        <v>3.70094385753338</v>
      </c>
      <c r="I208" s="96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143"/>
      <c r="X208" s="12"/>
      <c r="Y208" s="12"/>
    </row>
    <row r="209" spans="1:25" x14ac:dyDescent="0.25">
      <c r="A209" s="144"/>
      <c r="B209" s="148"/>
      <c r="C209" s="93">
        <f t="shared" si="45"/>
        <v>18</v>
      </c>
      <c r="D209" s="197">
        <f t="shared" ca="1" si="46"/>
        <v>17.21550000000002</v>
      </c>
      <c r="E209" s="197">
        <f t="shared" ca="1" si="47"/>
        <v>17.216500000000021</v>
      </c>
      <c r="F209" s="93" t="str">
        <f t="shared" ca="1" si="48"/>
        <v>17.216 to 17.217</v>
      </c>
      <c r="G209" s="97">
        <f ca="1">COUNTIF(SPC!$C$37:$BA$37,"&lt;="&amp;E209)-COUNTIF(SPC!$C$37:$BA$37,"&lt;="&amp;D209)</f>
        <v>0</v>
      </c>
      <c r="H209" s="93">
        <f t="shared" ca="1" si="44"/>
        <v>5.5368214506616003</v>
      </c>
      <c r="I209" s="96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143"/>
      <c r="X209" s="12"/>
      <c r="Y209" s="12"/>
    </row>
    <row r="210" spans="1:25" x14ac:dyDescent="0.25">
      <c r="A210" s="144"/>
      <c r="B210" s="148"/>
      <c r="C210" s="93">
        <f t="shared" si="45"/>
        <v>19</v>
      </c>
      <c r="D210" s="197">
        <f t="shared" ca="1" si="46"/>
        <v>17.216500000000021</v>
      </c>
      <c r="E210" s="197">
        <f t="shared" ca="1" si="47"/>
        <v>17.217500000000022</v>
      </c>
      <c r="F210" s="93" t="str">
        <f t="shared" ca="1" si="48"/>
        <v>17.217 to 17.218</v>
      </c>
      <c r="G210" s="97">
        <f ca="1">COUNTIF(SPC!$C$37:$BA$37,"&lt;="&amp;E210)-COUNTIF(SPC!$C$37:$BA$37,"&lt;="&amp;D210)</f>
        <v>0</v>
      </c>
      <c r="H210" s="93">
        <f t="shared" ca="1" si="44"/>
        <v>8.039877429161006</v>
      </c>
      <c r="I210" s="96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143"/>
      <c r="X210" s="12"/>
      <c r="Y210" s="12"/>
    </row>
    <row r="211" spans="1:25" x14ac:dyDescent="0.25">
      <c r="A211" s="144"/>
      <c r="B211" s="148"/>
      <c r="C211" s="93">
        <f t="shared" si="45"/>
        <v>20</v>
      </c>
      <c r="D211" s="197">
        <f t="shared" ca="1" si="46"/>
        <v>17.217500000000022</v>
      </c>
      <c r="E211" s="197">
        <f t="shared" ca="1" si="47"/>
        <v>17.218500000000024</v>
      </c>
      <c r="F211" s="93" t="str">
        <f t="shared" ca="1" si="48"/>
        <v>17.218 to 17.219</v>
      </c>
      <c r="G211" s="97">
        <f ca="1">COUNTIF(SPC!$C$37:$BA$37,"&lt;="&amp;E211)-COUNTIF(SPC!$C$37:$BA$37,"&lt;="&amp;D211)</f>
        <v>0</v>
      </c>
      <c r="H211" s="93">
        <f t="shared" ca="1" si="44"/>
        <v>11.331286598387232</v>
      </c>
      <c r="I211" s="96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143"/>
      <c r="X211" s="12"/>
      <c r="Y211" s="12"/>
    </row>
    <row r="212" spans="1:25" x14ac:dyDescent="0.25">
      <c r="A212" s="144"/>
      <c r="B212" s="148"/>
      <c r="C212" s="93">
        <f t="shared" si="45"/>
        <v>21</v>
      </c>
      <c r="D212" s="197">
        <f t="shared" ca="1" si="46"/>
        <v>17.218500000000024</v>
      </c>
      <c r="E212" s="197">
        <f t="shared" ca="1" si="47"/>
        <v>17.219500000000025</v>
      </c>
      <c r="F212" s="93" t="str">
        <f t="shared" ca="1" si="48"/>
        <v>17.219 to 17.220</v>
      </c>
      <c r="G212" s="97">
        <f ca="1">COUNTIF(SPC!$C$37:$BA$37,"&lt;="&amp;E212)-COUNTIF(SPC!$C$37:$BA$37,"&lt;="&amp;D212)</f>
        <v>0</v>
      </c>
      <c r="H212" s="93">
        <f t="shared" ca="1" si="44"/>
        <v>15.500649914837542</v>
      </c>
      <c r="I212" s="104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143"/>
      <c r="X212" s="12"/>
      <c r="Y212" s="12"/>
    </row>
    <row r="213" spans="1:25" x14ac:dyDescent="0.25">
      <c r="A213" s="144"/>
      <c r="B213" s="148"/>
      <c r="C213" s="93">
        <f t="shared" si="45"/>
        <v>22</v>
      </c>
      <c r="D213" s="197">
        <f t="shared" ca="1" si="46"/>
        <v>17.219500000000025</v>
      </c>
      <c r="E213" s="197">
        <f t="shared" ca="1" si="47"/>
        <v>17.220500000000026</v>
      </c>
      <c r="F213" s="93" t="str">
        <f t="shared" ca="1" si="48"/>
        <v>17.220 to 17.221</v>
      </c>
      <c r="G213" s="97">
        <f ca="1">COUNTIF(SPC!$C$37:$BA$37,"&lt;="&amp;E213)-COUNTIF(SPC!$C$37:$BA$37,"&lt;="&amp;D213)</f>
        <v>0</v>
      </c>
      <c r="H213" s="93">
        <f t="shared" ca="1" si="44"/>
        <v>20.580763336824088</v>
      </c>
      <c r="I213" s="104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143"/>
      <c r="X213" s="12"/>
      <c r="Y213" s="12"/>
    </row>
    <row r="214" spans="1:25" x14ac:dyDescent="0.25">
      <c r="A214" s="144"/>
      <c r="B214" s="148"/>
      <c r="C214" s="93">
        <f t="shared" si="45"/>
        <v>23</v>
      </c>
      <c r="D214" s="197">
        <f t="shared" ca="1" si="46"/>
        <v>17.220500000000026</v>
      </c>
      <c r="E214" s="197">
        <f t="shared" ca="1" si="47"/>
        <v>17.221500000000027</v>
      </c>
      <c r="F214" s="93" t="str">
        <f t="shared" ca="1" si="48"/>
        <v>17.221 to 17.222</v>
      </c>
      <c r="G214" s="97">
        <f ca="1">COUNTIF(SPC!$C$37:$BA$37,"&lt;="&amp;E214)-COUNTIF(SPC!$C$37:$BA$37,"&lt;="&amp;D214)</f>
        <v>0</v>
      </c>
      <c r="H214" s="93">
        <f t="shared" ca="1" si="44"/>
        <v>26.522468164168988</v>
      </c>
      <c r="I214" s="104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143"/>
      <c r="X214" s="12"/>
      <c r="Y214" s="12"/>
    </row>
    <row r="215" spans="1:25" x14ac:dyDescent="0.25">
      <c r="A215" s="144"/>
      <c r="B215" s="148"/>
      <c r="C215" s="93">
        <f t="shared" si="45"/>
        <v>24</v>
      </c>
      <c r="D215" s="197">
        <f t="shared" ca="1" si="46"/>
        <v>17.221500000000027</v>
      </c>
      <c r="E215" s="197">
        <f t="shared" ca="1" si="47"/>
        <v>17.222500000000029</v>
      </c>
      <c r="F215" s="93" t="str">
        <f t="shared" ca="1" si="48"/>
        <v>17.222 to 17.223</v>
      </c>
      <c r="G215" s="97">
        <f ca="1">COUNTIF(SPC!$C$37:$BA$37,"&lt;="&amp;E215)-COUNTIF(SPC!$C$37:$BA$37,"&lt;="&amp;D215)</f>
        <v>0</v>
      </c>
      <c r="H215" s="93">
        <f t="shared" ca="1" si="44"/>
        <v>33.174721235810509</v>
      </c>
      <c r="I215" s="104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143"/>
      <c r="X215" s="12"/>
      <c r="Y215" s="12"/>
    </row>
    <row r="216" spans="1:25" x14ac:dyDescent="0.25">
      <c r="A216" s="144"/>
      <c r="B216" s="148"/>
      <c r="C216" s="93">
        <f t="shared" si="45"/>
        <v>25</v>
      </c>
      <c r="D216" s="197">
        <f t="shared" ca="1" si="46"/>
        <v>17.222500000000029</v>
      </c>
      <c r="E216" s="197">
        <f t="shared" ca="1" si="47"/>
        <v>17.22350000000003</v>
      </c>
      <c r="F216" s="93" t="str">
        <f t="shared" ca="1" si="48"/>
        <v>17.223 to 17.224</v>
      </c>
      <c r="G216" s="97">
        <f ca="1">COUNTIF(SPC!$C$37:$BA$37,"&lt;="&amp;E216)-COUNTIF(SPC!$C$37:$BA$37,"&lt;="&amp;D216)</f>
        <v>13</v>
      </c>
      <c r="H216" s="93">
        <f t="shared" ca="1" si="44"/>
        <v>40.27555325460586</v>
      </c>
      <c r="I216" s="104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143"/>
      <c r="X216" s="12"/>
      <c r="Y216" s="12"/>
    </row>
    <row r="217" spans="1:25" x14ac:dyDescent="0.25">
      <c r="A217" s="144"/>
      <c r="B217" s="148"/>
      <c r="C217" s="93">
        <f t="shared" si="45"/>
        <v>26</v>
      </c>
      <c r="D217" s="197">
        <f t="shared" ca="1" si="46"/>
        <v>17.22350000000003</v>
      </c>
      <c r="E217" s="197">
        <f t="shared" ca="1" si="47"/>
        <v>17.224500000000031</v>
      </c>
      <c r="F217" s="93" t="str">
        <f t="shared" ca="1" si="48"/>
        <v>17.224 to 17.225</v>
      </c>
      <c r="G217" s="97">
        <f ca="1">COUNTIF(SPC!$C$37:$BA$37,"&lt;="&amp;E217)-COUNTIF(SPC!$C$37:$BA$37,"&lt;="&amp;D217)</f>
        <v>13</v>
      </c>
      <c r="H217" s="93">
        <f t="shared" ca="1" si="44"/>
        <v>47.458787111480007</v>
      </c>
      <c r="I217" s="104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143"/>
      <c r="X217" s="12"/>
      <c r="Y217" s="12"/>
    </row>
    <row r="218" spans="1:25" x14ac:dyDescent="0.25">
      <c r="A218" s="144"/>
      <c r="B218" s="148"/>
      <c r="C218" s="93">
        <f t="shared" si="45"/>
        <v>27</v>
      </c>
      <c r="D218" s="197">
        <f t="shared" ca="1" si="46"/>
        <v>17.224500000000031</v>
      </c>
      <c r="E218" s="197">
        <f t="shared" ca="1" si="47"/>
        <v>17.225500000000032</v>
      </c>
      <c r="F218" s="93" t="str">
        <f t="shared" ca="1" si="48"/>
        <v>17.225 to 17.226</v>
      </c>
      <c r="G218" s="97">
        <f ca="1">COUNTIF(SPC!$C$37:$BA$37,"&lt;="&amp;E218)-COUNTIF(SPC!$C$37:$BA$37,"&lt;="&amp;D218)</f>
        <v>0</v>
      </c>
      <c r="H218" s="93">
        <f t="shared" ca="1" si="44"/>
        <v>54.279100516966857</v>
      </c>
      <c r="I218" s="104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143"/>
      <c r="X218" s="12"/>
      <c r="Y218" s="12"/>
    </row>
    <row r="219" spans="1:25" x14ac:dyDescent="0.25">
      <c r="A219" s="144"/>
      <c r="B219" s="148"/>
      <c r="C219" s="93">
        <f t="shared" si="45"/>
        <v>28</v>
      </c>
      <c r="D219" s="197">
        <f t="shared" ca="1" si="46"/>
        <v>17.225500000000032</v>
      </c>
      <c r="E219" s="197">
        <f t="shared" ca="1" si="47"/>
        <v>17.226500000000033</v>
      </c>
      <c r="F219" s="93" t="str">
        <f t="shared" ca="1" si="48"/>
        <v>17.226 to 17.227</v>
      </c>
      <c r="G219" s="97">
        <f ca="1">COUNTIF(SPC!$C$37:$BA$37,"&lt;="&amp;E219)-COUNTIF(SPC!$C$37:$BA$37,"&lt;="&amp;D219)</f>
        <v>0</v>
      </c>
      <c r="H219" s="93">
        <f t="shared" ca="1" si="44"/>
        <v>60.254506899192968</v>
      </c>
      <c r="I219" s="104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143"/>
      <c r="X219" s="12"/>
      <c r="Y219" s="12"/>
    </row>
    <row r="220" spans="1:25" x14ac:dyDescent="0.25">
      <c r="A220" s="144"/>
      <c r="B220" s="148"/>
      <c r="C220" s="93">
        <f t="shared" si="45"/>
        <v>29</v>
      </c>
      <c r="D220" s="197">
        <f t="shared" ca="1" si="46"/>
        <v>17.226500000000033</v>
      </c>
      <c r="E220" s="197">
        <f t="shared" ca="1" si="47"/>
        <v>17.227500000000035</v>
      </c>
      <c r="F220" s="93" t="str">
        <f t="shared" ca="1" si="48"/>
        <v>17.227 to 17.228</v>
      </c>
      <c r="G220" s="97">
        <f ca="1">COUNTIF(SPC!$C$37:$BA$37,"&lt;="&amp;E220)-COUNTIF(SPC!$C$37:$BA$37,"&lt;="&amp;D220)</f>
        <v>0</v>
      </c>
      <c r="H220" s="93">
        <f t="shared" ca="1" si="44"/>
        <v>64.921316569845359</v>
      </c>
      <c r="I220" s="104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143"/>
      <c r="X220" s="12"/>
      <c r="Y220" s="12"/>
    </row>
    <row r="221" spans="1:25" x14ac:dyDescent="0.25">
      <c r="A221" s="144"/>
      <c r="B221" s="148"/>
      <c r="C221" s="93">
        <f t="shared" si="45"/>
        <v>30</v>
      </c>
      <c r="D221" s="197">
        <f t="shared" ca="1" si="46"/>
        <v>17.227500000000035</v>
      </c>
      <c r="E221" s="197">
        <f t="shared" ca="1" si="47"/>
        <v>17.228500000000036</v>
      </c>
      <c r="F221" s="93" t="str">
        <f t="shared" ca="1" si="48"/>
        <v>17.228 to 17.229</v>
      </c>
      <c r="G221" s="97">
        <f ca="1">COUNTIF(SPC!$C$37:$BA$37,"&lt;="&amp;E221)-COUNTIF(SPC!$C$37:$BA$37,"&lt;="&amp;D221)</f>
        <v>0</v>
      </c>
      <c r="H221" s="93">
        <f t="shared" ca="1" si="44"/>
        <v>67.893154492040466</v>
      </c>
      <c r="I221" s="104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143"/>
      <c r="X221" s="12"/>
      <c r="Y221" s="12"/>
    </row>
    <row r="222" spans="1:25" x14ac:dyDescent="0.25">
      <c r="A222" s="144"/>
      <c r="B222" s="148"/>
      <c r="C222" s="93">
        <f t="shared" si="45"/>
        <v>31</v>
      </c>
      <c r="D222" s="197">
        <f t="shared" ca="1" si="46"/>
        <v>17.228500000000036</v>
      </c>
      <c r="E222" s="197">
        <f t="shared" ca="1" si="47"/>
        <v>17.229500000000037</v>
      </c>
      <c r="F222" s="93" t="str">
        <f t="shared" ca="1" si="48"/>
        <v>17.229 to 17.230</v>
      </c>
      <c r="G222" s="97">
        <f ca="1">COUNTIF(SPC!$C$37:$BA$37,"&lt;="&amp;E222)-COUNTIF(SPC!$C$37:$BA$37,"&lt;="&amp;D222)</f>
        <v>0</v>
      </c>
      <c r="H222" s="93">
        <f t="shared" ca="1" si="44"/>
        <v>68.913696190733262</v>
      </c>
      <c r="I222" s="104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143"/>
      <c r="X222" s="12"/>
      <c r="Y222" s="12"/>
    </row>
    <row r="223" spans="1:25" x14ac:dyDescent="0.25">
      <c r="A223" s="144"/>
      <c r="B223" s="148"/>
      <c r="C223" s="93">
        <f t="shared" si="45"/>
        <v>32</v>
      </c>
      <c r="D223" s="197">
        <f t="shared" ca="1" si="46"/>
        <v>17.229500000000037</v>
      </c>
      <c r="E223" s="197">
        <f t="shared" ca="1" si="47"/>
        <v>17.230500000000038</v>
      </c>
      <c r="F223" s="93" t="str">
        <f t="shared" ca="1" si="48"/>
        <v>17.230 to 17.231</v>
      </c>
      <c r="G223" s="97">
        <f ca="1">COUNTIF(SPC!$C$37:$BA$37,"&lt;="&amp;E223)-COUNTIF(SPC!$C$37:$BA$37,"&lt;="&amp;D223)</f>
        <v>0</v>
      </c>
      <c r="H223" s="93">
        <f t="shared" ref="H223:H254" ca="1" si="49">IF(G$181&lt;&gt;0,NORMDIST(D$189+C223*D$188-D$188/2,D$182,G$181,FALSE),D223)</f>
        <v>67.893154492033275</v>
      </c>
      <c r="I223" s="104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143"/>
      <c r="X223" s="12"/>
      <c r="Y223" s="12"/>
    </row>
    <row r="224" spans="1:25" x14ac:dyDescent="0.25">
      <c r="A224" s="144"/>
      <c r="B224" s="148"/>
      <c r="C224" s="93">
        <f t="shared" ref="C224:C255" si="50">C223+1</f>
        <v>33</v>
      </c>
      <c r="D224" s="197">
        <f t="shared" ref="D224:D255" ca="1" si="51">E223</f>
        <v>17.230500000000038</v>
      </c>
      <c r="E224" s="197">
        <f t="shared" ref="E224:E255" ca="1" si="52">D224+$D$188</f>
        <v>17.23150000000004</v>
      </c>
      <c r="F224" s="93" t="str">
        <f t="shared" ref="F224:F255" ca="1" si="53">FIXED(D224,$E$180)&amp;" to "&amp;FIXED(E224,$E$180)</f>
        <v>17.231 to 17.232</v>
      </c>
      <c r="G224" s="97">
        <f ca="1">COUNTIF(SPC!$C$37:$BA$37,"&lt;="&amp;E224)-COUNTIF(SPC!$C$37:$BA$37,"&lt;="&amp;D224)</f>
        <v>0</v>
      </c>
      <c r="H224" s="93">
        <f t="shared" ca="1" si="49"/>
        <v>64.921316569831603</v>
      </c>
      <c r="I224" s="104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143"/>
      <c r="X224" s="12"/>
      <c r="Y224" s="12"/>
    </row>
    <row r="225" spans="1:25" x14ac:dyDescent="0.25">
      <c r="A225" s="144"/>
      <c r="B225" s="148"/>
      <c r="C225" s="93">
        <f t="shared" si="50"/>
        <v>34</v>
      </c>
      <c r="D225" s="197">
        <f t="shared" ca="1" si="51"/>
        <v>17.23150000000004</v>
      </c>
      <c r="E225" s="197">
        <f t="shared" ca="1" si="52"/>
        <v>17.232500000000041</v>
      </c>
      <c r="F225" s="93" t="str">
        <f t="shared" ca="1" si="53"/>
        <v>17.232 to 17.233</v>
      </c>
      <c r="G225" s="97">
        <f ca="1">COUNTIF(SPC!$C$37:$BA$37,"&lt;="&amp;E225)-COUNTIF(SPC!$C$37:$BA$37,"&lt;="&amp;D225)</f>
        <v>13</v>
      </c>
      <c r="H225" s="93">
        <f t="shared" ca="1" si="49"/>
        <v>60.254506899192968</v>
      </c>
      <c r="I225" s="104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143"/>
      <c r="X225" s="12"/>
      <c r="Y225" s="12"/>
    </row>
    <row r="226" spans="1:25" x14ac:dyDescent="0.25">
      <c r="A226" s="144"/>
      <c r="B226" s="148"/>
      <c r="C226" s="93">
        <f t="shared" si="50"/>
        <v>35</v>
      </c>
      <c r="D226" s="197">
        <f t="shared" ca="1" si="51"/>
        <v>17.232500000000041</v>
      </c>
      <c r="E226" s="197">
        <f t="shared" ca="1" si="52"/>
        <v>17.233500000000042</v>
      </c>
      <c r="F226" s="93" t="str">
        <f t="shared" ca="1" si="53"/>
        <v>17.233 to 17.234</v>
      </c>
      <c r="G226" s="97">
        <f ca="1">COUNTIF(SPC!$C$37:$BA$37,"&lt;="&amp;E226)-COUNTIF(SPC!$C$37:$BA$37,"&lt;="&amp;D226)</f>
        <v>0</v>
      </c>
      <c r="H226" s="93">
        <f t="shared" ca="1" si="49"/>
        <v>54.279100516943835</v>
      </c>
      <c r="I226" s="104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143"/>
      <c r="X226" s="12"/>
      <c r="Y226" s="12"/>
    </row>
    <row r="227" spans="1:25" x14ac:dyDescent="0.25">
      <c r="A227" s="144"/>
      <c r="B227" s="148"/>
      <c r="C227" s="93">
        <f t="shared" si="50"/>
        <v>36</v>
      </c>
      <c r="D227" s="197">
        <f t="shared" ca="1" si="51"/>
        <v>17.233500000000042</v>
      </c>
      <c r="E227" s="197">
        <f t="shared" ca="1" si="52"/>
        <v>17.234500000000043</v>
      </c>
      <c r="F227" s="93" t="str">
        <f t="shared" ca="1" si="53"/>
        <v>17.234 to 17.235</v>
      </c>
      <c r="G227" s="97">
        <f ca="1">COUNTIF(SPC!$C$37:$BA$37,"&lt;="&amp;E227)-COUNTIF(SPC!$C$37:$BA$37,"&lt;="&amp;D227)</f>
        <v>0</v>
      </c>
      <c r="H227" s="93">
        <f t="shared" ca="1" si="49"/>
        <v>47.458787111454853</v>
      </c>
      <c r="I227" s="104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143"/>
      <c r="X227" s="12"/>
      <c r="Y227" s="12"/>
    </row>
    <row r="228" spans="1:25" x14ac:dyDescent="0.25">
      <c r="A228" s="144"/>
      <c r="B228" s="148"/>
      <c r="C228" s="93">
        <f t="shared" si="50"/>
        <v>37</v>
      </c>
      <c r="D228" s="197">
        <f t="shared" ca="1" si="51"/>
        <v>17.234500000000043</v>
      </c>
      <c r="E228" s="197">
        <f t="shared" ca="1" si="52"/>
        <v>17.235500000000044</v>
      </c>
      <c r="F228" s="93" t="str">
        <f t="shared" ca="1" si="53"/>
        <v>17.235 to 17.236</v>
      </c>
      <c r="G228" s="97">
        <f ca="1">COUNTIF(SPC!$C$37:$BA$37,"&lt;="&amp;E228)-COUNTIF(SPC!$C$37:$BA$37,"&lt;="&amp;D228)</f>
        <v>0</v>
      </c>
      <c r="H228" s="93">
        <f t="shared" ca="1" si="49"/>
        <v>40.27555325460586</v>
      </c>
      <c r="I228" s="104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143"/>
      <c r="X228" s="12"/>
      <c r="Y228" s="12"/>
    </row>
    <row r="229" spans="1:25" x14ac:dyDescent="0.25">
      <c r="A229" s="144"/>
      <c r="B229" s="148"/>
      <c r="C229" s="93">
        <f t="shared" si="50"/>
        <v>38</v>
      </c>
      <c r="D229" s="197">
        <f t="shared" ca="1" si="51"/>
        <v>17.235500000000044</v>
      </c>
      <c r="E229" s="197">
        <f t="shared" ca="1" si="52"/>
        <v>17.236500000000046</v>
      </c>
      <c r="F229" s="93" t="str">
        <f t="shared" ca="1" si="53"/>
        <v>17.236 to 17.237</v>
      </c>
      <c r="G229" s="97">
        <f ca="1">COUNTIF(SPC!$C$37:$BA$37,"&lt;="&amp;E229)-COUNTIF(SPC!$C$37:$BA$37,"&lt;="&amp;D229)</f>
        <v>12</v>
      </c>
      <c r="H229" s="93">
        <f t="shared" ca="1" si="49"/>
        <v>33.174721235785888</v>
      </c>
      <c r="I229" s="104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143"/>
      <c r="X229" s="12"/>
      <c r="Y229" s="12"/>
    </row>
    <row r="230" spans="1:25" x14ac:dyDescent="0.25">
      <c r="A230" s="144"/>
      <c r="B230" s="148"/>
      <c r="C230" s="93">
        <f t="shared" si="50"/>
        <v>39</v>
      </c>
      <c r="D230" s="197">
        <f t="shared" ca="1" si="51"/>
        <v>17.236500000000046</v>
      </c>
      <c r="E230" s="197">
        <f t="shared" ca="1" si="52"/>
        <v>17.237500000000047</v>
      </c>
      <c r="F230" s="93" t="str">
        <f t="shared" ca="1" si="53"/>
        <v>17.237 to 17.238</v>
      </c>
      <c r="G230" s="97">
        <f ca="1">COUNTIF(SPC!$C$37:$BA$37,"&lt;="&amp;E230)-COUNTIF(SPC!$C$37:$BA$37,"&lt;="&amp;D230)</f>
        <v>0</v>
      </c>
      <c r="H230" s="93">
        <f t="shared" ca="1" si="49"/>
        <v>26.522468164146488</v>
      </c>
      <c r="I230" s="104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143"/>
      <c r="X230" s="12"/>
      <c r="Y230" s="12"/>
    </row>
    <row r="231" spans="1:25" x14ac:dyDescent="0.25">
      <c r="A231" s="144"/>
      <c r="B231" s="148"/>
      <c r="C231" s="93">
        <f t="shared" si="50"/>
        <v>40</v>
      </c>
      <c r="D231" s="197">
        <f t="shared" ca="1" si="51"/>
        <v>17.237500000000047</v>
      </c>
      <c r="E231" s="197">
        <f t="shared" ca="1" si="52"/>
        <v>17.238500000000048</v>
      </c>
      <c r="F231" s="93" t="str">
        <f t="shared" ca="1" si="53"/>
        <v>17.238 to 17.239</v>
      </c>
      <c r="G231" s="97">
        <f ca="1">COUNTIF(SPC!$C$37:$BA$37,"&lt;="&amp;E231)-COUNTIF(SPC!$C$37:$BA$37,"&lt;="&amp;D231)</f>
        <v>0</v>
      </c>
      <c r="H231" s="93">
        <f t="shared" ca="1" si="49"/>
        <v>20.580763336824088</v>
      </c>
      <c r="I231" s="104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143"/>
      <c r="X231" s="12"/>
      <c r="Y231" s="12"/>
    </row>
    <row r="232" spans="1:25" x14ac:dyDescent="0.25">
      <c r="A232" s="144"/>
      <c r="B232" s="148"/>
      <c r="C232" s="93">
        <f t="shared" si="50"/>
        <v>41</v>
      </c>
      <c r="D232" s="197">
        <f t="shared" ca="1" si="51"/>
        <v>17.238500000000048</v>
      </c>
      <c r="E232" s="197">
        <f t="shared" ca="1" si="52"/>
        <v>17.239500000000049</v>
      </c>
      <c r="F232" s="93" t="str">
        <f t="shared" ca="1" si="53"/>
        <v>17.239 to 17.240</v>
      </c>
      <c r="G232" s="97">
        <f ca="1">COUNTIF(SPC!$C$37:$BA$37,"&lt;="&amp;E232)-COUNTIF(SPC!$C$37:$BA$37,"&lt;="&amp;D232)</f>
        <v>0</v>
      </c>
      <c r="H232" s="93">
        <f t="shared" ca="1" si="49"/>
        <v>15.500649914821105</v>
      </c>
      <c r="I232" s="104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143"/>
      <c r="X232" s="12"/>
      <c r="Y232" s="12"/>
    </row>
    <row r="233" spans="1:25" x14ac:dyDescent="0.25">
      <c r="A233" s="144"/>
      <c r="B233" s="148"/>
      <c r="C233" s="93">
        <f t="shared" si="50"/>
        <v>42</v>
      </c>
      <c r="D233" s="197">
        <f t="shared" ca="1" si="51"/>
        <v>17.239500000000049</v>
      </c>
      <c r="E233" s="197">
        <f t="shared" ca="1" si="52"/>
        <v>17.240500000000051</v>
      </c>
      <c r="F233" s="93" t="str">
        <f t="shared" ca="1" si="53"/>
        <v>17.240 to 17.241</v>
      </c>
      <c r="G233" s="97">
        <f ca="1">COUNTIF(SPC!$C$37:$BA$37,"&lt;="&amp;E233)-COUNTIF(SPC!$C$37:$BA$37,"&lt;="&amp;D233)</f>
        <v>0</v>
      </c>
      <c r="H233" s="93">
        <f t="shared" ca="1" si="49"/>
        <v>11.331286598374016</v>
      </c>
      <c r="I233" s="104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143"/>
      <c r="X233" s="12"/>
      <c r="Y233" s="12"/>
    </row>
    <row r="234" spans="1:25" x14ac:dyDescent="0.25">
      <c r="A234" s="144"/>
      <c r="B234" s="148"/>
      <c r="C234" s="93">
        <f t="shared" si="50"/>
        <v>43</v>
      </c>
      <c r="D234" s="197">
        <f t="shared" ca="1" si="51"/>
        <v>17.240500000000051</v>
      </c>
      <c r="E234" s="197">
        <f t="shared" ca="1" si="52"/>
        <v>17.241500000000052</v>
      </c>
      <c r="F234" s="93" t="str">
        <f t="shared" ca="1" si="53"/>
        <v>17.241 to 17.242</v>
      </c>
      <c r="G234" s="97">
        <f ca="1">COUNTIF(SPC!$C$37:$BA$37,"&lt;="&amp;E234)-COUNTIF(SPC!$C$37:$BA$37,"&lt;="&amp;D234)</f>
        <v>0</v>
      </c>
      <c r="H234" s="93">
        <f t="shared" ca="1" si="49"/>
        <v>8.039877429161006</v>
      </c>
      <c r="I234" s="104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143"/>
      <c r="X234" s="12"/>
      <c r="Y234" s="12"/>
    </row>
    <row r="235" spans="1:25" x14ac:dyDescent="0.25">
      <c r="A235" s="144"/>
      <c r="B235" s="148"/>
      <c r="C235" s="93">
        <f t="shared" si="50"/>
        <v>44</v>
      </c>
      <c r="D235" s="197">
        <f t="shared" ca="1" si="51"/>
        <v>17.241500000000052</v>
      </c>
      <c r="E235" s="197">
        <f t="shared" ca="1" si="52"/>
        <v>17.242500000000053</v>
      </c>
      <c r="F235" s="93" t="str">
        <f t="shared" ca="1" si="53"/>
        <v>17.242 to 17.243</v>
      </c>
      <c r="G235" s="97">
        <f ca="1">COUNTIF(SPC!$C$37:$BA$37,"&lt;="&amp;E235)-COUNTIF(SPC!$C$37:$BA$37,"&lt;="&amp;D235)</f>
        <v>0</v>
      </c>
      <c r="H235" s="93">
        <f t="shared" ca="1" si="49"/>
        <v>5.5368214506539681</v>
      </c>
      <c r="I235" s="104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143"/>
      <c r="X235" s="12"/>
      <c r="Y235" s="12"/>
    </row>
    <row r="236" spans="1:25" x14ac:dyDescent="0.25">
      <c r="A236" s="144"/>
      <c r="B236" s="148"/>
      <c r="C236" s="93">
        <f t="shared" si="50"/>
        <v>45</v>
      </c>
      <c r="D236" s="197">
        <f t="shared" ca="1" si="51"/>
        <v>17.242500000000053</v>
      </c>
      <c r="E236" s="197">
        <f t="shared" ca="1" si="52"/>
        <v>17.243500000000054</v>
      </c>
      <c r="F236" s="93" t="str">
        <f t="shared" ca="1" si="53"/>
        <v>17.243 to 17.244</v>
      </c>
      <c r="G236" s="97">
        <f ca="1">COUNTIF(SPC!$C$37:$BA$37,"&lt;="&amp;E236)-COUNTIF(SPC!$C$37:$BA$37,"&lt;="&amp;D236)</f>
        <v>0</v>
      </c>
      <c r="H236" s="93">
        <f t="shared" ca="1" si="49"/>
        <v>3.7009438575278852</v>
      </c>
      <c r="I236" s="104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143"/>
      <c r="X236" s="12"/>
      <c r="Y236" s="12"/>
    </row>
    <row r="237" spans="1:25" x14ac:dyDescent="0.25">
      <c r="A237" s="144"/>
      <c r="B237" s="148"/>
      <c r="C237" s="93">
        <f t="shared" si="50"/>
        <v>46</v>
      </c>
      <c r="D237" s="197">
        <f t="shared" ca="1" si="51"/>
        <v>17.243500000000054</v>
      </c>
      <c r="E237" s="197">
        <f t="shared" ca="1" si="52"/>
        <v>17.244500000000055</v>
      </c>
      <c r="F237" s="93" t="str">
        <f t="shared" ca="1" si="53"/>
        <v>17.244 to 17.245</v>
      </c>
      <c r="G237" s="97">
        <f ca="1">COUNTIF(SPC!$C$37:$BA$37,"&lt;="&amp;E237)-COUNTIF(SPC!$C$37:$BA$37,"&lt;="&amp;D237)</f>
        <v>0</v>
      </c>
      <c r="H237" s="93">
        <f t="shared" ca="1" si="49"/>
        <v>2.4010729908996877</v>
      </c>
      <c r="I237" s="104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143"/>
      <c r="X237" s="12"/>
      <c r="Y237" s="12"/>
    </row>
    <row r="238" spans="1:25" x14ac:dyDescent="0.25">
      <c r="A238" s="144"/>
      <c r="B238" s="148"/>
      <c r="C238" s="93">
        <f t="shared" si="50"/>
        <v>47</v>
      </c>
      <c r="D238" s="197">
        <f t="shared" ca="1" si="51"/>
        <v>17.244500000000055</v>
      </c>
      <c r="E238" s="197">
        <f t="shared" ca="1" si="52"/>
        <v>17.245500000000057</v>
      </c>
      <c r="F238" s="93" t="str">
        <f t="shared" ca="1" si="53"/>
        <v>17.245 to 17.246</v>
      </c>
      <c r="G238" s="97">
        <f ca="1">COUNTIF(SPC!$C$37:$BA$37,"&lt;="&amp;E238)-COUNTIF(SPC!$C$37:$BA$37,"&lt;="&amp;D238)</f>
        <v>0</v>
      </c>
      <c r="H238" s="93">
        <f t="shared" ca="1" si="49"/>
        <v>1.5119558694266133</v>
      </c>
      <c r="I238" s="104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143"/>
      <c r="X238" s="12"/>
      <c r="Y238" s="12"/>
    </row>
    <row r="239" spans="1:25" x14ac:dyDescent="0.25">
      <c r="A239" s="144"/>
      <c r="B239" s="148"/>
      <c r="C239" s="93">
        <f t="shared" si="50"/>
        <v>48</v>
      </c>
      <c r="D239" s="197">
        <f t="shared" ca="1" si="51"/>
        <v>17.245500000000057</v>
      </c>
      <c r="E239" s="197">
        <f t="shared" ca="1" si="52"/>
        <v>17.246500000000058</v>
      </c>
      <c r="F239" s="93" t="str">
        <f t="shared" ca="1" si="53"/>
        <v>17.246 to 17.247</v>
      </c>
      <c r="G239" s="97">
        <f ca="1">COUNTIF(SPC!$C$37:$BA$37,"&lt;="&amp;E239)-COUNTIF(SPC!$C$37:$BA$37,"&lt;="&amp;D239)</f>
        <v>0</v>
      </c>
      <c r="H239" s="93">
        <f t="shared" ca="1" si="49"/>
        <v>0.9240889036737886</v>
      </c>
      <c r="I239" s="104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143"/>
      <c r="X239" s="12"/>
      <c r="Y239" s="12"/>
    </row>
    <row r="240" spans="1:25" x14ac:dyDescent="0.25">
      <c r="A240" s="144"/>
      <c r="B240" s="148"/>
      <c r="C240" s="93">
        <f t="shared" si="50"/>
        <v>49</v>
      </c>
      <c r="D240" s="197">
        <f t="shared" ca="1" si="51"/>
        <v>17.246500000000058</v>
      </c>
      <c r="E240" s="197">
        <f t="shared" ca="1" si="52"/>
        <v>17.247500000000059</v>
      </c>
      <c r="F240" s="93" t="str">
        <f t="shared" ca="1" si="53"/>
        <v>17.247 to 17.248</v>
      </c>
      <c r="G240" s="97">
        <f ca="1">COUNTIF(SPC!$C$37:$BA$37,"&lt;="&amp;E240)-COUNTIF(SPC!$C$37:$BA$37,"&lt;="&amp;D240)</f>
        <v>0</v>
      </c>
      <c r="H240" s="93">
        <f t="shared" ca="1" si="49"/>
        <v>0.54818769477337526</v>
      </c>
      <c r="I240" s="104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143"/>
      <c r="X240" s="12"/>
      <c r="Y240" s="12"/>
    </row>
    <row r="241" spans="1:25" x14ac:dyDescent="0.25">
      <c r="A241" s="144"/>
      <c r="B241" s="148"/>
      <c r="C241" s="93">
        <f t="shared" si="50"/>
        <v>50</v>
      </c>
      <c r="D241" s="197">
        <f t="shared" ca="1" si="51"/>
        <v>17.247500000000059</v>
      </c>
      <c r="E241" s="197">
        <f t="shared" ca="1" si="52"/>
        <v>17.24850000000006</v>
      </c>
      <c r="F241" s="93" t="str">
        <f t="shared" ca="1" si="53"/>
        <v>17.248 to 17.249</v>
      </c>
      <c r="G241" s="97">
        <f ca="1">COUNTIF(SPC!$C$37:$BA$37,"&lt;="&amp;E241)-COUNTIF(SPC!$C$37:$BA$37,"&lt;="&amp;D241)</f>
        <v>0</v>
      </c>
      <c r="H241" s="93">
        <f t="shared" ca="1" si="49"/>
        <v>0.31563539405424995</v>
      </c>
      <c r="I241" s="104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143"/>
      <c r="X241" s="12"/>
      <c r="Y241" s="12"/>
    </row>
    <row r="242" spans="1:25" x14ac:dyDescent="0.25">
      <c r="A242" s="144"/>
      <c r="B242" s="148"/>
      <c r="C242" s="93">
        <f t="shared" si="50"/>
        <v>51</v>
      </c>
      <c r="D242" s="197">
        <f t="shared" ca="1" si="51"/>
        <v>17.24850000000006</v>
      </c>
      <c r="E242" s="197">
        <f t="shared" ca="1" si="52"/>
        <v>17.249500000000062</v>
      </c>
      <c r="F242" s="93" t="str">
        <f t="shared" ca="1" si="53"/>
        <v>17.249 to 17.250</v>
      </c>
      <c r="G242" s="97">
        <f ca="1">COUNTIF(SPC!$C$37:$BA$37,"&lt;="&amp;E242)-COUNTIF(SPC!$C$37:$BA$37,"&lt;="&amp;D242)</f>
        <v>0</v>
      </c>
      <c r="H242" s="93">
        <f t="shared" ca="1" si="49"/>
        <v>0.17639367122120206</v>
      </c>
      <c r="I242" s="104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143"/>
      <c r="X242" s="12"/>
      <c r="Y242" s="12"/>
    </row>
    <row r="243" spans="1:25" x14ac:dyDescent="0.25">
      <c r="A243" s="144"/>
      <c r="B243" s="148"/>
      <c r="C243" s="93">
        <f t="shared" si="50"/>
        <v>52</v>
      </c>
      <c r="D243" s="197">
        <f t="shared" ca="1" si="51"/>
        <v>17.249500000000062</v>
      </c>
      <c r="E243" s="197">
        <f t="shared" ca="1" si="52"/>
        <v>17.250500000000063</v>
      </c>
      <c r="F243" s="93" t="str">
        <f t="shared" ca="1" si="53"/>
        <v>17.250 to 17.251</v>
      </c>
      <c r="G243" s="97">
        <f ca="1">COUNTIF(SPC!$C$37:$BA$37,"&lt;="&amp;E243)-COUNTIF(SPC!$C$37:$BA$37,"&lt;="&amp;D243)</f>
        <v>0</v>
      </c>
      <c r="H243" s="93">
        <f t="shared" ca="1" si="49"/>
        <v>9.5680004771646288E-2</v>
      </c>
      <c r="I243" s="104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143"/>
      <c r="X243" s="12"/>
      <c r="Y243" s="12"/>
    </row>
    <row r="244" spans="1:25" x14ac:dyDescent="0.25">
      <c r="A244" s="144"/>
      <c r="B244" s="148"/>
      <c r="C244" s="93">
        <f t="shared" si="50"/>
        <v>53</v>
      </c>
      <c r="D244" s="197">
        <f t="shared" ca="1" si="51"/>
        <v>17.250500000000063</v>
      </c>
      <c r="E244" s="197">
        <f t="shared" ca="1" si="52"/>
        <v>17.251500000000064</v>
      </c>
      <c r="F244" s="93" t="str">
        <f t="shared" ca="1" si="53"/>
        <v>17.251 to 17.252</v>
      </c>
      <c r="G244" s="97">
        <f ca="1">COUNTIF(SPC!$C$37:$BA$37,"&lt;="&amp;E244)-COUNTIF(SPC!$C$37:$BA$37,"&lt;="&amp;D244)</f>
        <v>0</v>
      </c>
      <c r="H244" s="93">
        <f t="shared" ca="1" si="49"/>
        <v>5.0373283984927367E-2</v>
      </c>
      <c r="I244" s="104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143"/>
      <c r="X244" s="12"/>
      <c r="Y244" s="12"/>
    </row>
    <row r="245" spans="1:25" x14ac:dyDescent="0.25">
      <c r="A245" s="144"/>
      <c r="B245" s="148"/>
      <c r="C245" s="93">
        <f t="shared" si="50"/>
        <v>54</v>
      </c>
      <c r="D245" s="197">
        <f t="shared" ca="1" si="51"/>
        <v>17.251500000000064</v>
      </c>
      <c r="E245" s="197">
        <f t="shared" ca="1" si="52"/>
        <v>17.252500000000065</v>
      </c>
      <c r="F245" s="93" t="str">
        <f t="shared" ca="1" si="53"/>
        <v>17.252 to 17.253</v>
      </c>
      <c r="G245" s="97">
        <f ca="1">COUNTIF(SPC!$C$37:$BA$37,"&lt;="&amp;E245)-COUNTIF(SPC!$C$37:$BA$37,"&lt;="&amp;D245)</f>
        <v>0</v>
      </c>
      <c r="H245" s="93">
        <f t="shared" ca="1" si="49"/>
        <v>2.574069261421039E-2</v>
      </c>
      <c r="I245" s="104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143"/>
      <c r="X245" s="12"/>
      <c r="Y245" s="12"/>
    </row>
    <row r="246" spans="1:25" x14ac:dyDescent="0.25">
      <c r="A246" s="144"/>
      <c r="B246" s="148"/>
      <c r="C246" s="93">
        <f t="shared" si="50"/>
        <v>55</v>
      </c>
      <c r="D246" s="197">
        <f t="shared" ca="1" si="51"/>
        <v>17.252500000000065</v>
      </c>
      <c r="E246" s="197">
        <f t="shared" ca="1" si="52"/>
        <v>17.253500000000066</v>
      </c>
      <c r="F246" s="93" t="str">
        <f t="shared" ca="1" si="53"/>
        <v>17.253 to 17.254</v>
      </c>
      <c r="G246" s="97">
        <f ca="1">COUNTIF(SPC!$C$37:$BA$37,"&lt;="&amp;E246)-COUNTIF(SPC!$C$37:$BA$37,"&lt;="&amp;D246)</f>
        <v>0</v>
      </c>
      <c r="H246" s="93">
        <f t="shared" ca="1" si="49"/>
        <v>1.2766771323389228E-2</v>
      </c>
      <c r="I246" s="104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143"/>
      <c r="X246" s="12"/>
      <c r="Y246" s="12"/>
    </row>
    <row r="247" spans="1:25" x14ac:dyDescent="0.25">
      <c r="A247" s="144"/>
      <c r="B247" s="148"/>
      <c r="C247" s="93">
        <f t="shared" si="50"/>
        <v>56</v>
      </c>
      <c r="D247" s="197">
        <f t="shared" ca="1" si="51"/>
        <v>17.253500000000066</v>
      </c>
      <c r="E247" s="197">
        <f t="shared" ca="1" si="52"/>
        <v>17.254500000000068</v>
      </c>
      <c r="F247" s="93" t="str">
        <f t="shared" ca="1" si="53"/>
        <v>17.254 to 17.255</v>
      </c>
      <c r="G247" s="97">
        <f ca="1">COUNTIF(SPC!$C$37:$BA$37,"&lt;="&amp;E247)-COUNTIF(SPC!$C$37:$BA$37,"&lt;="&amp;D247)</f>
        <v>0</v>
      </c>
      <c r="H247" s="93">
        <f t="shared" ca="1" si="49"/>
        <v>6.1458621891644482E-3</v>
      </c>
      <c r="I247" s="104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143"/>
      <c r="X247" s="12"/>
      <c r="Y247" s="12"/>
    </row>
    <row r="248" spans="1:25" x14ac:dyDescent="0.25">
      <c r="A248" s="144"/>
      <c r="B248" s="148"/>
      <c r="C248" s="93">
        <f t="shared" si="50"/>
        <v>57</v>
      </c>
      <c r="D248" s="197">
        <f t="shared" ca="1" si="51"/>
        <v>17.254500000000068</v>
      </c>
      <c r="E248" s="197">
        <f t="shared" ca="1" si="52"/>
        <v>17.255500000000069</v>
      </c>
      <c r="F248" s="93" t="str">
        <f t="shared" ca="1" si="53"/>
        <v>17.255 to 17.256</v>
      </c>
      <c r="G248" s="97">
        <f ca="1">COUNTIF(SPC!$C$37:$BA$37,"&lt;="&amp;E248)-COUNTIF(SPC!$C$37:$BA$37,"&lt;="&amp;D248)</f>
        <v>0</v>
      </c>
      <c r="H248" s="93">
        <f t="shared" ca="1" si="49"/>
        <v>2.8716099087034031E-3</v>
      </c>
      <c r="I248" s="104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143"/>
      <c r="X248" s="12"/>
      <c r="Y248" s="12"/>
    </row>
    <row r="249" spans="1:25" x14ac:dyDescent="0.25">
      <c r="A249" s="144"/>
      <c r="B249" s="148"/>
      <c r="C249" s="93">
        <f t="shared" si="50"/>
        <v>58</v>
      </c>
      <c r="D249" s="197">
        <f t="shared" ca="1" si="51"/>
        <v>17.255500000000069</v>
      </c>
      <c r="E249" s="197">
        <f t="shared" ca="1" si="52"/>
        <v>17.25650000000007</v>
      </c>
      <c r="F249" s="93" t="str">
        <f t="shared" ca="1" si="53"/>
        <v>17.256 to 17.257</v>
      </c>
      <c r="G249" s="97">
        <f ca="1">COUNTIF(SPC!$C$37:$BA$37,"&lt;="&amp;E249)-COUNTIF(SPC!$C$37:$BA$37,"&lt;="&amp;D249)</f>
        <v>0</v>
      </c>
      <c r="H249" s="93">
        <f t="shared" ca="1" si="49"/>
        <v>1.302293749265283E-3</v>
      </c>
      <c r="I249" s="104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143"/>
      <c r="X249" s="12"/>
      <c r="Y249" s="12"/>
    </row>
    <row r="250" spans="1:25" x14ac:dyDescent="0.25">
      <c r="A250" s="144"/>
      <c r="B250" s="148"/>
      <c r="C250" s="93">
        <f t="shared" si="50"/>
        <v>59</v>
      </c>
      <c r="D250" s="197">
        <f t="shared" ca="1" si="51"/>
        <v>17.25650000000007</v>
      </c>
      <c r="E250" s="197">
        <f t="shared" ca="1" si="52"/>
        <v>17.257500000000071</v>
      </c>
      <c r="F250" s="93" t="str">
        <f t="shared" ca="1" si="53"/>
        <v>17.257 to 17.258</v>
      </c>
      <c r="G250" s="97">
        <f ca="1">COUNTIF(SPC!$C$37:$BA$37,"&lt;="&amp;E250)-COUNTIF(SPC!$C$37:$BA$37,"&lt;="&amp;D250)</f>
        <v>0</v>
      </c>
      <c r="H250" s="93">
        <f t="shared" ca="1" si="49"/>
        <v>5.7323586703691824E-4</v>
      </c>
      <c r="I250" s="104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143"/>
      <c r="X250" s="12"/>
      <c r="Y250" s="12"/>
    </row>
    <row r="251" spans="1:25" x14ac:dyDescent="0.25">
      <c r="A251" s="144"/>
      <c r="B251" s="148"/>
      <c r="C251" s="93">
        <f t="shared" si="50"/>
        <v>60</v>
      </c>
      <c r="D251" s="197">
        <f t="shared" ca="1" si="51"/>
        <v>17.257500000000071</v>
      </c>
      <c r="E251" s="197">
        <f t="shared" ca="1" si="52"/>
        <v>17.258500000000073</v>
      </c>
      <c r="F251" s="93" t="str">
        <f t="shared" ca="1" si="53"/>
        <v>17.258 to 17.259</v>
      </c>
      <c r="G251" s="97">
        <f ca="1">COUNTIF(SPC!$C$37:$BA$37,"&lt;="&amp;E251)-COUNTIF(SPC!$C$37:$BA$37,"&lt;="&amp;D251)</f>
        <v>0</v>
      </c>
      <c r="H251" s="93">
        <f t="shared" ca="1" si="49"/>
        <v>2.4490555922913399E-4</v>
      </c>
      <c r="I251" s="104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143"/>
      <c r="X251" s="12"/>
      <c r="Y251" s="12"/>
    </row>
    <row r="252" spans="1:25" x14ac:dyDescent="0.25">
      <c r="A252" s="144"/>
      <c r="B252" s="148"/>
      <c r="C252" s="93">
        <f t="shared" si="50"/>
        <v>61</v>
      </c>
      <c r="D252" s="197">
        <f t="shared" ca="1" si="51"/>
        <v>17.258500000000073</v>
      </c>
      <c r="E252" s="197">
        <f t="shared" ca="1" si="52"/>
        <v>17.259500000000074</v>
      </c>
      <c r="F252" s="93" t="str">
        <f t="shared" ca="1" si="53"/>
        <v>17.259 to 17.260</v>
      </c>
      <c r="G252" s="97">
        <f ca="1">COUNTIF(SPC!$C$37:$BA$37,"&lt;="&amp;E252)-COUNTIF(SPC!$C$37:$BA$37,"&lt;="&amp;D252)</f>
        <v>0</v>
      </c>
      <c r="H252" s="93">
        <f t="shared" ca="1" si="49"/>
        <v>1.015558202261784E-4</v>
      </c>
      <c r="I252" s="104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143"/>
      <c r="X252" s="12"/>
      <c r="Y252" s="12"/>
    </row>
    <row r="253" spans="1:25" x14ac:dyDescent="0.25">
      <c r="A253" s="144"/>
      <c r="B253" s="148"/>
      <c r="C253" s="93">
        <f t="shared" si="50"/>
        <v>62</v>
      </c>
      <c r="D253" s="197">
        <f t="shared" ca="1" si="51"/>
        <v>17.259500000000074</v>
      </c>
      <c r="E253" s="197">
        <f t="shared" ca="1" si="52"/>
        <v>17.260500000000075</v>
      </c>
      <c r="F253" s="93" t="str">
        <f t="shared" ca="1" si="53"/>
        <v>17.260 to 17.261</v>
      </c>
      <c r="G253" s="97">
        <f ca="1">COUNTIF(SPC!$C$37:$BA$37,"&lt;="&amp;E253)-COUNTIF(SPC!$C$37:$BA$37,"&lt;="&amp;D253)</f>
        <v>0</v>
      </c>
      <c r="H253" s="93">
        <f t="shared" ca="1" si="49"/>
        <v>4.087444606042267E-5</v>
      </c>
      <c r="I253" s="104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143"/>
      <c r="X253" s="12"/>
      <c r="Y253" s="12"/>
    </row>
    <row r="254" spans="1:25" x14ac:dyDescent="0.25">
      <c r="A254" s="144"/>
      <c r="B254" s="148"/>
      <c r="C254" s="93">
        <f t="shared" si="50"/>
        <v>63</v>
      </c>
      <c r="D254" s="197">
        <f t="shared" ca="1" si="51"/>
        <v>17.260500000000075</v>
      </c>
      <c r="E254" s="197">
        <f t="shared" ca="1" si="52"/>
        <v>17.261500000000076</v>
      </c>
      <c r="F254" s="93" t="str">
        <f t="shared" ca="1" si="53"/>
        <v>17.261 to 17.262</v>
      </c>
      <c r="G254" s="97">
        <f ca="1">COUNTIF(SPC!$C$37:$BA$37,"&lt;="&amp;E254)-COUNTIF(SPC!$C$37:$BA$37,"&lt;="&amp;D254)</f>
        <v>0</v>
      </c>
      <c r="H254" s="93">
        <f t="shared" ca="1" si="49"/>
        <v>1.5967606785672043E-5</v>
      </c>
      <c r="I254" s="104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143"/>
      <c r="X254" s="12"/>
      <c r="Y254" s="12"/>
    </row>
    <row r="255" spans="1:25" x14ac:dyDescent="0.25">
      <c r="A255" s="144"/>
      <c r="B255" s="148"/>
      <c r="C255" s="93">
        <f t="shared" si="50"/>
        <v>64</v>
      </c>
      <c r="D255" s="197">
        <f t="shared" ca="1" si="51"/>
        <v>17.261500000000076</v>
      </c>
      <c r="E255" s="197">
        <f t="shared" ca="1" si="52"/>
        <v>17.262500000000077</v>
      </c>
      <c r="F255" s="93" t="str">
        <f t="shared" ca="1" si="53"/>
        <v>17.262 to 17.263</v>
      </c>
      <c r="G255" s="97">
        <f ca="1">COUNTIF(SPC!$C$37:$BA$37,"&lt;="&amp;E255)-COUNTIF(SPC!$C$37:$BA$37,"&lt;="&amp;D255)</f>
        <v>0</v>
      </c>
      <c r="H255" s="93">
        <f t="shared" ref="H255:H286" ca="1" si="54">IF(G$181&lt;&gt;0,NORMDIST(D$189+C255*D$188-D$188/2,D$182,G$181,FALSE),D255)</f>
        <v>6.054365919501195E-6</v>
      </c>
      <c r="I255" s="104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143"/>
      <c r="X255" s="12"/>
      <c r="Y255" s="12"/>
    </row>
    <row r="256" spans="1:25" x14ac:dyDescent="0.25">
      <c r="A256" s="144"/>
      <c r="B256" s="148"/>
      <c r="C256" s="93">
        <f t="shared" ref="C256:C287" si="55">C255+1</f>
        <v>65</v>
      </c>
      <c r="D256" s="197">
        <f t="shared" ref="D256:D287" ca="1" si="56">E255</f>
        <v>17.262500000000077</v>
      </c>
      <c r="E256" s="197">
        <f t="shared" ref="E256:E287" ca="1" si="57">D256+$D$188</f>
        <v>17.263500000000079</v>
      </c>
      <c r="F256" s="93" t="str">
        <f t="shared" ref="F256:F287" ca="1" si="58">FIXED(D256,$E$180)&amp;" to "&amp;FIXED(E256,$E$180)</f>
        <v>17.263 to 17.264</v>
      </c>
      <c r="G256" s="97">
        <f ca="1">COUNTIF(SPC!$C$37:$BA$37,"&lt;="&amp;E256)-COUNTIF(SPC!$C$37:$BA$37,"&lt;="&amp;D256)</f>
        <v>0</v>
      </c>
      <c r="H256" s="93">
        <f t="shared" ca="1" si="54"/>
        <v>2.2281190380549417E-6</v>
      </c>
      <c r="I256" s="104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143"/>
      <c r="X256" s="12"/>
      <c r="Y256" s="12"/>
    </row>
    <row r="257" spans="1:25" x14ac:dyDescent="0.25">
      <c r="A257" s="144"/>
      <c r="B257" s="148"/>
      <c r="C257" s="93">
        <f t="shared" si="55"/>
        <v>66</v>
      </c>
      <c r="D257" s="197">
        <f t="shared" ca="1" si="56"/>
        <v>17.263500000000079</v>
      </c>
      <c r="E257" s="197">
        <f t="shared" ca="1" si="57"/>
        <v>17.26450000000008</v>
      </c>
      <c r="F257" s="93" t="str">
        <f t="shared" ca="1" si="58"/>
        <v>17.264 to 17.265</v>
      </c>
      <c r="G257" s="97">
        <f ca="1">COUNTIF(SPC!$C$37:$BA$37,"&lt;="&amp;E257)-COUNTIF(SPC!$C$37:$BA$37,"&lt;="&amp;D257)</f>
        <v>0</v>
      </c>
      <c r="H257" s="93">
        <f t="shared" ca="1" si="54"/>
        <v>7.9588258249408035E-7</v>
      </c>
      <c r="I257" s="104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143"/>
      <c r="X257" s="12"/>
      <c r="Y257" s="12"/>
    </row>
    <row r="258" spans="1:25" x14ac:dyDescent="0.25">
      <c r="A258" s="144"/>
      <c r="B258" s="148"/>
      <c r="C258" s="93">
        <f t="shared" si="55"/>
        <v>67</v>
      </c>
      <c r="D258" s="197">
        <f t="shared" ca="1" si="56"/>
        <v>17.26450000000008</v>
      </c>
      <c r="E258" s="197">
        <f t="shared" ca="1" si="57"/>
        <v>17.265500000000081</v>
      </c>
      <c r="F258" s="93" t="str">
        <f t="shared" ca="1" si="58"/>
        <v>17.265 to 17.266</v>
      </c>
      <c r="G258" s="97">
        <f ca="1">COUNTIF(SPC!$C$37:$BA$37,"&lt;="&amp;E258)-COUNTIF(SPC!$C$37:$BA$37,"&lt;="&amp;D258)</f>
        <v>0</v>
      </c>
      <c r="H258" s="93">
        <f t="shared" ca="1" si="54"/>
        <v>2.7593100248193696E-7</v>
      </c>
      <c r="I258" s="104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143"/>
      <c r="X258" s="12"/>
      <c r="Y258" s="12"/>
    </row>
    <row r="259" spans="1:25" x14ac:dyDescent="0.25">
      <c r="A259" s="144"/>
      <c r="B259" s="148"/>
      <c r="C259" s="93">
        <f t="shared" si="55"/>
        <v>68</v>
      </c>
      <c r="D259" s="197">
        <f t="shared" ca="1" si="56"/>
        <v>17.265500000000081</v>
      </c>
      <c r="E259" s="197">
        <f t="shared" ca="1" si="57"/>
        <v>17.266500000000082</v>
      </c>
      <c r="F259" s="93" t="str">
        <f t="shared" ca="1" si="58"/>
        <v>17.266 to 17.267</v>
      </c>
      <c r="G259" s="97">
        <f ca="1">COUNTIF(SPC!$C$37:$BA$37,"&lt;="&amp;E259)-COUNTIF(SPC!$C$37:$BA$37,"&lt;="&amp;D259)</f>
        <v>0</v>
      </c>
      <c r="H259" s="93">
        <f t="shared" ca="1" si="54"/>
        <v>9.2852346702318997E-8</v>
      </c>
      <c r="I259" s="104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143"/>
      <c r="X259" s="12"/>
      <c r="Y259" s="12"/>
    </row>
    <row r="260" spans="1:25" x14ac:dyDescent="0.25">
      <c r="A260" s="144"/>
      <c r="B260" s="148"/>
      <c r="C260" s="93">
        <f t="shared" si="55"/>
        <v>69</v>
      </c>
      <c r="D260" s="197">
        <f t="shared" ca="1" si="56"/>
        <v>17.266500000000082</v>
      </c>
      <c r="E260" s="197">
        <f t="shared" ca="1" si="57"/>
        <v>17.267500000000084</v>
      </c>
      <c r="F260" s="93" t="str">
        <f t="shared" ca="1" si="58"/>
        <v>17.267 to 17.268</v>
      </c>
      <c r="G260" s="97">
        <f ca="1">COUNTIF(SPC!$C$37:$BA$37,"&lt;="&amp;E260)-COUNTIF(SPC!$C$37:$BA$37,"&lt;="&amp;D260)</f>
        <v>0</v>
      </c>
      <c r="H260" s="93">
        <f t="shared" ca="1" si="54"/>
        <v>3.0326769974672825E-8</v>
      </c>
      <c r="I260" s="104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143"/>
      <c r="X260" s="12"/>
      <c r="Y260" s="12"/>
    </row>
    <row r="261" spans="1:25" x14ac:dyDescent="0.25">
      <c r="A261" s="144"/>
      <c r="B261" s="148"/>
      <c r="C261" s="93">
        <f t="shared" si="55"/>
        <v>70</v>
      </c>
      <c r="D261" s="197">
        <f t="shared" ca="1" si="56"/>
        <v>17.267500000000084</v>
      </c>
      <c r="E261" s="197">
        <f t="shared" ca="1" si="57"/>
        <v>17.268500000000085</v>
      </c>
      <c r="F261" s="93" t="str">
        <f t="shared" ca="1" si="58"/>
        <v>17.268 to 17.269</v>
      </c>
      <c r="G261" s="97">
        <f ca="1">COUNTIF(SPC!$C$37:$BA$37,"&lt;="&amp;E261)-COUNTIF(SPC!$C$37:$BA$37,"&lt;="&amp;D261)</f>
        <v>0</v>
      </c>
      <c r="H261" s="93">
        <f t="shared" ca="1" si="54"/>
        <v>9.6139158691700709E-9</v>
      </c>
      <c r="I261" s="104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143"/>
      <c r="X261" s="12"/>
      <c r="Y261" s="12"/>
    </row>
    <row r="262" spans="1:25" x14ac:dyDescent="0.25">
      <c r="A262" s="144"/>
      <c r="B262" s="148"/>
      <c r="C262" s="93">
        <f t="shared" si="55"/>
        <v>71</v>
      </c>
      <c r="D262" s="197">
        <f t="shared" ca="1" si="56"/>
        <v>17.268500000000085</v>
      </c>
      <c r="E262" s="197">
        <f t="shared" ca="1" si="57"/>
        <v>17.269500000000086</v>
      </c>
      <c r="F262" s="93" t="str">
        <f t="shared" ca="1" si="58"/>
        <v>17.269 to 17.270</v>
      </c>
      <c r="G262" s="97">
        <f ca="1">COUNTIF(SPC!$C$37:$BA$37,"&lt;="&amp;E262)-COUNTIF(SPC!$C$37:$BA$37,"&lt;="&amp;D262)</f>
        <v>0</v>
      </c>
      <c r="H262" s="93">
        <f t="shared" ca="1" si="54"/>
        <v>2.9581171186892022E-9</v>
      </c>
      <c r="I262" s="104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143"/>
      <c r="X262" s="12"/>
      <c r="Y262" s="12"/>
    </row>
    <row r="263" spans="1:25" x14ac:dyDescent="0.25">
      <c r="A263" s="144"/>
      <c r="B263" s="148"/>
      <c r="C263" s="93">
        <f t="shared" si="55"/>
        <v>72</v>
      </c>
      <c r="D263" s="197">
        <f t="shared" ca="1" si="56"/>
        <v>17.269500000000086</v>
      </c>
      <c r="E263" s="197">
        <f t="shared" ca="1" si="57"/>
        <v>17.270500000000087</v>
      </c>
      <c r="F263" s="93" t="str">
        <f t="shared" ca="1" si="58"/>
        <v>17.270 to 17.271</v>
      </c>
      <c r="G263" s="97">
        <f ca="1">COUNTIF(SPC!$C$37:$BA$37,"&lt;="&amp;E263)-COUNTIF(SPC!$C$37:$BA$37,"&lt;="&amp;D263)</f>
        <v>0</v>
      </c>
      <c r="H263" s="93">
        <f t="shared" ca="1" si="54"/>
        <v>8.8342828360309763E-10</v>
      </c>
      <c r="I263" s="104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143"/>
      <c r="X263" s="12"/>
      <c r="Y263" s="12"/>
    </row>
    <row r="264" spans="1:25" x14ac:dyDescent="0.25">
      <c r="A264" s="144"/>
      <c r="B264" s="148"/>
      <c r="C264" s="93">
        <f t="shared" si="55"/>
        <v>73</v>
      </c>
      <c r="D264" s="197">
        <f t="shared" ca="1" si="56"/>
        <v>17.270500000000087</v>
      </c>
      <c r="E264" s="197">
        <f t="shared" ca="1" si="57"/>
        <v>17.271500000000088</v>
      </c>
      <c r="F264" s="93" t="str">
        <f t="shared" ca="1" si="58"/>
        <v>17.271 to 17.272</v>
      </c>
      <c r="G264" s="97">
        <f ca="1">COUNTIF(SPC!$C$37:$BA$37,"&lt;="&amp;E264)-COUNTIF(SPC!$C$37:$BA$37,"&lt;="&amp;D264)</f>
        <v>0</v>
      </c>
      <c r="H264" s="93">
        <f t="shared" ca="1" si="54"/>
        <v>2.5607555423543278E-10</v>
      </c>
      <c r="I264" s="104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143"/>
      <c r="X264" s="12"/>
      <c r="Y264" s="12"/>
    </row>
    <row r="265" spans="1:25" x14ac:dyDescent="0.25">
      <c r="A265" s="144"/>
      <c r="B265" s="148"/>
      <c r="C265" s="93">
        <f t="shared" si="55"/>
        <v>74</v>
      </c>
      <c r="D265" s="197">
        <f t="shared" ca="1" si="56"/>
        <v>17.271500000000088</v>
      </c>
      <c r="E265" s="197">
        <f t="shared" ca="1" si="57"/>
        <v>17.27250000000009</v>
      </c>
      <c r="F265" s="93" t="str">
        <f t="shared" ca="1" si="58"/>
        <v>17.272 to 17.273</v>
      </c>
      <c r="G265" s="97">
        <f ca="1">COUNTIF(SPC!$C$37:$BA$37,"&lt;="&amp;E265)-COUNTIF(SPC!$C$37:$BA$37,"&lt;="&amp;D265)</f>
        <v>0</v>
      </c>
      <c r="H265" s="93">
        <f t="shared" ca="1" si="54"/>
        <v>7.2045329272917526E-11</v>
      </c>
      <c r="I265" s="104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143"/>
      <c r="X265" s="12"/>
      <c r="Y265" s="12"/>
    </row>
    <row r="266" spans="1:25" x14ac:dyDescent="0.25">
      <c r="A266" s="144"/>
      <c r="B266" s="148"/>
      <c r="C266" s="93">
        <f t="shared" si="55"/>
        <v>75</v>
      </c>
      <c r="D266" s="197">
        <f t="shared" ca="1" si="56"/>
        <v>17.27250000000009</v>
      </c>
      <c r="E266" s="197">
        <f t="shared" ca="1" si="57"/>
        <v>17.273500000000091</v>
      </c>
      <c r="F266" s="93" t="str">
        <f t="shared" ca="1" si="58"/>
        <v>17.273 to 17.274</v>
      </c>
      <c r="G266" s="97">
        <f ca="1">COUNTIF(SPC!$C$37:$BA$37,"&lt;="&amp;E266)-COUNTIF(SPC!$C$37:$BA$37,"&lt;="&amp;D266)</f>
        <v>0</v>
      </c>
      <c r="H266" s="93">
        <f t="shared" ca="1" si="54"/>
        <v>1.9673626724307909E-11</v>
      </c>
      <c r="I266" s="104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143"/>
      <c r="X266" s="12"/>
      <c r="Y266" s="12"/>
    </row>
    <row r="267" spans="1:25" x14ac:dyDescent="0.25">
      <c r="A267" s="144"/>
      <c r="B267" s="148"/>
      <c r="C267" s="93">
        <f t="shared" si="55"/>
        <v>76</v>
      </c>
      <c r="D267" s="197">
        <f t="shared" ca="1" si="56"/>
        <v>17.273500000000091</v>
      </c>
      <c r="E267" s="197">
        <f t="shared" ca="1" si="57"/>
        <v>17.274500000000092</v>
      </c>
      <c r="F267" s="93" t="str">
        <f t="shared" ca="1" si="58"/>
        <v>17.274 to 17.275</v>
      </c>
      <c r="G267" s="97">
        <f ca="1">COUNTIF(SPC!$C$37:$BA$37,"&lt;="&amp;E267)-COUNTIF(SPC!$C$37:$BA$37,"&lt;="&amp;D267)</f>
        <v>0</v>
      </c>
      <c r="H267" s="93">
        <f t="shared" ca="1" si="54"/>
        <v>5.2143948100849589E-12</v>
      </c>
      <c r="I267" s="104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143"/>
      <c r="X267" s="12"/>
      <c r="Y267" s="12"/>
    </row>
    <row r="268" spans="1:25" x14ac:dyDescent="0.25">
      <c r="A268" s="144"/>
      <c r="B268" s="148"/>
      <c r="C268" s="93">
        <f t="shared" si="55"/>
        <v>77</v>
      </c>
      <c r="D268" s="197">
        <f t="shared" ca="1" si="56"/>
        <v>17.274500000000092</v>
      </c>
      <c r="E268" s="197">
        <f t="shared" ca="1" si="57"/>
        <v>17.275500000000093</v>
      </c>
      <c r="F268" s="93" t="str">
        <f t="shared" ca="1" si="58"/>
        <v>17.275 to 17.276</v>
      </c>
      <c r="G268" s="97">
        <f ca="1">COUNTIF(SPC!$C$37:$BA$37,"&lt;="&amp;E268)-COUNTIF(SPC!$C$37:$BA$37,"&lt;="&amp;D268)</f>
        <v>0</v>
      </c>
      <c r="H268" s="93">
        <f t="shared" ca="1" si="54"/>
        <v>1.3414184702217996E-12</v>
      </c>
      <c r="I268" s="104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143"/>
      <c r="X268" s="12"/>
      <c r="Y268" s="12"/>
    </row>
    <row r="269" spans="1:25" x14ac:dyDescent="0.25">
      <c r="A269" s="144"/>
      <c r="B269" s="148"/>
      <c r="C269" s="93">
        <f t="shared" si="55"/>
        <v>78</v>
      </c>
      <c r="D269" s="197">
        <f t="shared" ca="1" si="56"/>
        <v>17.275500000000093</v>
      </c>
      <c r="E269" s="197">
        <f t="shared" ca="1" si="57"/>
        <v>17.276500000000095</v>
      </c>
      <c r="F269" s="93" t="str">
        <f t="shared" ca="1" si="58"/>
        <v>17.276 to 17.277</v>
      </c>
      <c r="G269" s="97">
        <f ca="1">COUNTIF(SPC!$C$37:$BA$37,"&lt;="&amp;E269)-COUNTIF(SPC!$C$37:$BA$37,"&lt;="&amp;D269)</f>
        <v>0</v>
      </c>
      <c r="H269" s="93">
        <f t="shared" ca="1" si="54"/>
        <v>3.3493886187863972E-13</v>
      </c>
      <c r="I269" s="104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143"/>
      <c r="X269" s="12"/>
      <c r="Y269" s="12"/>
    </row>
    <row r="270" spans="1:25" x14ac:dyDescent="0.25">
      <c r="A270" s="144"/>
      <c r="B270" s="148"/>
      <c r="C270" s="93">
        <f t="shared" si="55"/>
        <v>79</v>
      </c>
      <c r="D270" s="197">
        <f t="shared" ca="1" si="56"/>
        <v>17.276500000000095</v>
      </c>
      <c r="E270" s="197">
        <f t="shared" ca="1" si="57"/>
        <v>17.277500000000096</v>
      </c>
      <c r="F270" s="93" t="str">
        <f t="shared" ca="1" si="58"/>
        <v>17.277 to 17.278</v>
      </c>
      <c r="G270" s="97">
        <f ca="1">COUNTIF(SPC!$C$37:$BA$37,"&lt;="&amp;E270)-COUNTIF(SPC!$C$37:$BA$37,"&lt;="&amp;D270)</f>
        <v>0</v>
      </c>
      <c r="H270" s="93">
        <f t="shared" ca="1" si="54"/>
        <v>8.1172268988261306E-14</v>
      </c>
      <c r="I270" s="104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143"/>
      <c r="X270" s="12"/>
      <c r="Y270" s="12"/>
    </row>
    <row r="271" spans="1:25" x14ac:dyDescent="0.25">
      <c r="A271" s="144"/>
      <c r="B271" s="148"/>
      <c r="C271" s="93">
        <f t="shared" si="55"/>
        <v>80</v>
      </c>
      <c r="D271" s="197">
        <f t="shared" ca="1" si="56"/>
        <v>17.277500000000096</v>
      </c>
      <c r="E271" s="197">
        <f t="shared" ca="1" si="57"/>
        <v>17.278500000000097</v>
      </c>
      <c r="F271" s="93" t="str">
        <f t="shared" ca="1" si="58"/>
        <v>17.278 to 17.279</v>
      </c>
      <c r="G271" s="97">
        <f ca="1">COUNTIF(SPC!$C$37:$BA$37,"&lt;="&amp;E271)-COUNTIF(SPC!$C$37:$BA$37,"&lt;="&amp;D271)</f>
        <v>0</v>
      </c>
      <c r="H271" s="93">
        <f t="shared" ca="1" si="54"/>
        <v>1.9093727438307078E-14</v>
      </c>
      <c r="I271" s="104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143"/>
      <c r="X271" s="12"/>
      <c r="Y271" s="12"/>
    </row>
    <row r="272" spans="1:25" x14ac:dyDescent="0.25">
      <c r="A272" s="144"/>
      <c r="B272" s="148"/>
      <c r="C272" s="93">
        <f t="shared" si="55"/>
        <v>81</v>
      </c>
      <c r="D272" s="197">
        <f t="shared" ca="1" si="56"/>
        <v>17.278500000000097</v>
      </c>
      <c r="E272" s="197">
        <f t="shared" ca="1" si="57"/>
        <v>17.279500000000098</v>
      </c>
      <c r="F272" s="93" t="str">
        <f t="shared" ca="1" si="58"/>
        <v>17.279 to 17.280</v>
      </c>
      <c r="G272" s="97">
        <f ca="1">COUNTIF(SPC!$C$37:$BA$37,"&lt;="&amp;E272)-COUNTIF(SPC!$C$37:$BA$37,"&lt;="&amp;D272)</f>
        <v>0</v>
      </c>
      <c r="H272" s="93">
        <f t="shared" ca="1" si="54"/>
        <v>4.3592787344198996E-15</v>
      </c>
      <c r="I272" s="104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143"/>
      <c r="X272" s="12"/>
      <c r="Y272" s="12"/>
    </row>
    <row r="273" spans="1:25" x14ac:dyDescent="0.25">
      <c r="A273" s="144"/>
      <c r="B273" s="148"/>
      <c r="C273" s="93">
        <f t="shared" si="55"/>
        <v>82</v>
      </c>
      <c r="D273" s="197">
        <f t="shared" ca="1" si="56"/>
        <v>17.279500000000098</v>
      </c>
      <c r="E273" s="197">
        <f t="shared" ca="1" si="57"/>
        <v>17.280500000000099</v>
      </c>
      <c r="F273" s="93" t="str">
        <f t="shared" ca="1" si="58"/>
        <v>17.280 to 17.281</v>
      </c>
      <c r="G273" s="97">
        <f ca="1">COUNTIF(SPC!$C$37:$BA$37,"&lt;="&amp;E273)-COUNTIF(SPC!$C$37:$BA$37,"&lt;="&amp;D273)</f>
        <v>0</v>
      </c>
      <c r="H273" s="93">
        <f t="shared" ca="1" si="54"/>
        <v>9.6600516022203296E-16</v>
      </c>
      <c r="I273" s="104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143"/>
      <c r="X273" s="12"/>
      <c r="Y273" s="12"/>
    </row>
    <row r="274" spans="1:25" x14ac:dyDescent="0.25">
      <c r="A274" s="144"/>
      <c r="B274" s="148"/>
      <c r="C274" s="93">
        <f t="shared" si="55"/>
        <v>83</v>
      </c>
      <c r="D274" s="197">
        <f t="shared" ca="1" si="56"/>
        <v>17.280500000000099</v>
      </c>
      <c r="E274" s="197">
        <f t="shared" ca="1" si="57"/>
        <v>17.281500000000101</v>
      </c>
      <c r="F274" s="93" t="str">
        <f t="shared" ca="1" si="58"/>
        <v>17.281 to 17.282</v>
      </c>
      <c r="G274" s="97">
        <f ca="1">COUNTIF(SPC!$C$37:$BA$37,"&lt;="&amp;E274)-COUNTIF(SPC!$C$37:$BA$37,"&lt;="&amp;D274)</f>
        <v>0</v>
      </c>
      <c r="H274" s="93">
        <f t="shared" ca="1" si="54"/>
        <v>2.0777110095224008E-16</v>
      </c>
      <c r="I274" s="104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143"/>
      <c r="X274" s="12"/>
      <c r="Y274" s="12"/>
    </row>
    <row r="275" spans="1:25" x14ac:dyDescent="0.25">
      <c r="A275" s="144"/>
      <c r="B275" s="148"/>
      <c r="C275" s="93">
        <f t="shared" si="55"/>
        <v>84</v>
      </c>
      <c r="D275" s="197">
        <f t="shared" ca="1" si="56"/>
        <v>17.281500000000101</v>
      </c>
      <c r="E275" s="197">
        <f t="shared" ca="1" si="57"/>
        <v>17.282500000000102</v>
      </c>
      <c r="F275" s="93" t="str">
        <f t="shared" ca="1" si="58"/>
        <v>17.282 to 17.283</v>
      </c>
      <c r="G275" s="97">
        <f ca="1">COUNTIF(SPC!$C$37:$BA$37,"&lt;="&amp;E275)-COUNTIF(SPC!$C$37:$BA$37,"&lt;="&amp;D275)</f>
        <v>0</v>
      </c>
      <c r="H275" s="93">
        <f t="shared" ca="1" si="54"/>
        <v>4.3374224504915746E-17</v>
      </c>
      <c r="I275" s="104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143"/>
      <c r="X275" s="12"/>
      <c r="Y275" s="12"/>
    </row>
    <row r="276" spans="1:25" x14ac:dyDescent="0.25">
      <c r="A276" s="144"/>
      <c r="B276" s="148"/>
      <c r="C276" s="93">
        <f t="shared" si="55"/>
        <v>85</v>
      </c>
      <c r="D276" s="197">
        <f t="shared" ca="1" si="56"/>
        <v>17.282500000000102</v>
      </c>
      <c r="E276" s="197">
        <f t="shared" ca="1" si="57"/>
        <v>17.283500000000103</v>
      </c>
      <c r="F276" s="93" t="str">
        <f t="shared" ca="1" si="58"/>
        <v>17.283 to 17.284</v>
      </c>
      <c r="G276" s="97">
        <f ca="1">COUNTIF(SPC!$C$37:$BA$37,"&lt;="&amp;E276)-COUNTIF(SPC!$C$37:$BA$37,"&lt;="&amp;D276)</f>
        <v>0</v>
      </c>
      <c r="H276" s="93">
        <f t="shared" ca="1" si="54"/>
        <v>8.7885897532487291E-18</v>
      </c>
      <c r="I276" s="104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143"/>
      <c r="X276" s="12"/>
      <c r="Y276" s="12"/>
    </row>
    <row r="277" spans="1:25" x14ac:dyDescent="0.25">
      <c r="A277" s="144"/>
      <c r="B277" s="148"/>
      <c r="C277" s="93">
        <f t="shared" si="55"/>
        <v>86</v>
      </c>
      <c r="D277" s="197">
        <f t="shared" ca="1" si="56"/>
        <v>17.283500000000103</v>
      </c>
      <c r="E277" s="197">
        <f t="shared" ca="1" si="57"/>
        <v>17.284500000000104</v>
      </c>
      <c r="F277" s="93" t="str">
        <f t="shared" ca="1" si="58"/>
        <v>17.284 to 17.285</v>
      </c>
      <c r="G277" s="97">
        <f ca="1">COUNTIF(SPC!$C$37:$BA$37,"&lt;="&amp;E277)-COUNTIF(SPC!$C$37:$BA$37,"&lt;="&amp;D277)</f>
        <v>0</v>
      </c>
      <c r="H277" s="93">
        <f t="shared" ca="1" si="54"/>
        <v>1.7284130983665285E-18</v>
      </c>
      <c r="I277" s="104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143"/>
      <c r="X277" s="12"/>
      <c r="Y277" s="12"/>
    </row>
    <row r="278" spans="1:25" x14ac:dyDescent="0.25">
      <c r="A278" s="144"/>
      <c r="B278" s="148"/>
      <c r="C278" s="93">
        <f t="shared" si="55"/>
        <v>87</v>
      </c>
      <c r="D278" s="197">
        <f t="shared" ca="1" si="56"/>
        <v>17.284500000000104</v>
      </c>
      <c r="E278" s="197">
        <f t="shared" ca="1" si="57"/>
        <v>17.285500000000106</v>
      </c>
      <c r="F278" s="93" t="str">
        <f t="shared" ca="1" si="58"/>
        <v>17.285 to 17.286</v>
      </c>
      <c r="G278" s="97">
        <f ca="1">COUNTIF(SPC!$C$37:$BA$37,"&lt;="&amp;E278)-COUNTIF(SPC!$C$37:$BA$37,"&lt;="&amp;D278)</f>
        <v>0</v>
      </c>
      <c r="H278" s="93">
        <f t="shared" ca="1" si="54"/>
        <v>3.2992619064571984E-19</v>
      </c>
      <c r="I278" s="104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143"/>
      <c r="X278" s="12"/>
      <c r="Y278" s="12"/>
    </row>
    <row r="279" spans="1:25" x14ac:dyDescent="0.25">
      <c r="A279" s="144"/>
      <c r="B279" s="148"/>
      <c r="C279" s="93">
        <f t="shared" si="55"/>
        <v>88</v>
      </c>
      <c r="D279" s="197">
        <f t="shared" ca="1" si="56"/>
        <v>17.285500000000106</v>
      </c>
      <c r="E279" s="197">
        <f t="shared" ca="1" si="57"/>
        <v>17.286500000000107</v>
      </c>
      <c r="F279" s="93" t="str">
        <f t="shared" ca="1" si="58"/>
        <v>17.286 to 17.287</v>
      </c>
      <c r="G279" s="97">
        <f ca="1">COUNTIF(SPC!$C$37:$BA$37,"&lt;="&amp;E279)-COUNTIF(SPC!$C$37:$BA$37,"&lt;="&amp;D279)</f>
        <v>0</v>
      </c>
      <c r="H279" s="93">
        <f t="shared" ca="1" si="54"/>
        <v>6.1126133240367036E-20</v>
      </c>
      <c r="I279" s="104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143"/>
      <c r="X279" s="12"/>
      <c r="Y279" s="12"/>
    </row>
    <row r="280" spans="1:25" x14ac:dyDescent="0.25">
      <c r="A280" s="144"/>
      <c r="B280" s="148"/>
      <c r="C280" s="93">
        <f t="shared" si="55"/>
        <v>89</v>
      </c>
      <c r="D280" s="197">
        <f t="shared" ca="1" si="56"/>
        <v>17.286500000000107</v>
      </c>
      <c r="E280" s="197">
        <f t="shared" ca="1" si="57"/>
        <v>17.287500000000108</v>
      </c>
      <c r="F280" s="93" t="str">
        <f t="shared" ca="1" si="58"/>
        <v>17.287 to 17.288</v>
      </c>
      <c r="G280" s="97">
        <f ca="1">COUNTIF(SPC!$C$37:$BA$37,"&lt;="&amp;E280)-COUNTIF(SPC!$C$37:$BA$37,"&lt;="&amp;D280)</f>
        <v>0</v>
      </c>
      <c r="H280" s="93">
        <f t="shared" ca="1" si="54"/>
        <v>1.0992030939238654E-20</v>
      </c>
      <c r="I280" s="104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143"/>
      <c r="X280" s="12"/>
      <c r="Y280" s="12"/>
    </row>
    <row r="281" spans="1:25" x14ac:dyDescent="0.25">
      <c r="A281" s="144"/>
      <c r="B281" s="148"/>
      <c r="C281" s="93">
        <f t="shared" si="55"/>
        <v>90</v>
      </c>
      <c r="D281" s="197">
        <f t="shared" ca="1" si="56"/>
        <v>17.287500000000108</v>
      </c>
      <c r="E281" s="197">
        <f t="shared" ca="1" si="57"/>
        <v>17.288500000000109</v>
      </c>
      <c r="F281" s="93" t="str">
        <f t="shared" ca="1" si="58"/>
        <v>17.288 to 17.289</v>
      </c>
      <c r="G281" s="97">
        <f ca="1">COUNTIF(SPC!$C$37:$BA$37,"&lt;="&amp;E281)-COUNTIF(SPC!$C$37:$BA$37,"&lt;="&amp;D281)</f>
        <v>0</v>
      </c>
      <c r="H281" s="93">
        <f t="shared" ca="1" si="54"/>
        <v>1.9185355358060575E-21</v>
      </c>
      <c r="I281" s="104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143"/>
      <c r="X281" s="12"/>
      <c r="Y281" s="12"/>
    </row>
    <row r="282" spans="1:25" x14ac:dyDescent="0.25">
      <c r="A282" s="144"/>
      <c r="B282" s="148"/>
      <c r="C282" s="93">
        <f t="shared" si="55"/>
        <v>91</v>
      </c>
      <c r="D282" s="197">
        <f t="shared" ca="1" si="56"/>
        <v>17.288500000000109</v>
      </c>
      <c r="E282" s="197">
        <f t="shared" ca="1" si="57"/>
        <v>17.28950000000011</v>
      </c>
      <c r="F282" s="93" t="str">
        <f t="shared" ca="1" si="58"/>
        <v>17.289 to 17.290</v>
      </c>
      <c r="G282" s="97">
        <f ca="1">COUNTIF(SPC!$C$37:$BA$37,"&lt;="&amp;E282)-COUNTIF(SPC!$C$37:$BA$37,"&lt;="&amp;D282)</f>
        <v>0</v>
      </c>
      <c r="H282" s="93">
        <f t="shared" ca="1" si="54"/>
        <v>3.2501442809965383E-22</v>
      </c>
      <c r="I282" s="104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143"/>
      <c r="X282" s="12"/>
      <c r="Y282" s="12"/>
    </row>
    <row r="283" spans="1:25" x14ac:dyDescent="0.25">
      <c r="A283" s="144"/>
      <c r="B283" s="148"/>
      <c r="C283" s="93">
        <f t="shared" si="55"/>
        <v>92</v>
      </c>
      <c r="D283" s="197">
        <f t="shared" ca="1" si="56"/>
        <v>17.28950000000011</v>
      </c>
      <c r="E283" s="197">
        <f t="shared" ca="1" si="57"/>
        <v>17.290500000000112</v>
      </c>
      <c r="F283" s="93" t="str">
        <f t="shared" ca="1" si="58"/>
        <v>17.290 to 17.291</v>
      </c>
      <c r="G283" s="97">
        <f ca="1">COUNTIF(SPC!$C$37:$BA$37,"&lt;="&amp;E283)-COUNTIF(SPC!$C$37:$BA$37,"&lt;="&amp;D283)</f>
        <v>0</v>
      </c>
      <c r="H283" s="93">
        <f t="shared" ca="1" si="54"/>
        <v>5.3441214693078247E-23</v>
      </c>
      <c r="I283" s="104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143"/>
      <c r="X283" s="12"/>
      <c r="Y283" s="12"/>
    </row>
    <row r="284" spans="1:25" x14ac:dyDescent="0.25">
      <c r="A284" s="144"/>
      <c r="B284" s="148"/>
      <c r="C284" s="93">
        <f t="shared" si="55"/>
        <v>93</v>
      </c>
      <c r="D284" s="197">
        <f t="shared" ca="1" si="56"/>
        <v>17.290500000000112</v>
      </c>
      <c r="E284" s="197">
        <f t="shared" ca="1" si="57"/>
        <v>17.291500000000113</v>
      </c>
      <c r="F284" s="93" t="str">
        <f t="shared" ca="1" si="58"/>
        <v>17.291 to 17.292</v>
      </c>
      <c r="G284" s="97">
        <f ca="1">COUNTIF(SPC!$C$37:$BA$37,"&lt;="&amp;E284)-COUNTIF(SPC!$C$37:$BA$37,"&lt;="&amp;D284)</f>
        <v>0</v>
      </c>
      <c r="H284" s="93">
        <f t="shared" ca="1" si="54"/>
        <v>8.5288580905024227E-24</v>
      </c>
      <c r="I284" s="104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143"/>
      <c r="X284" s="12"/>
      <c r="Y284" s="12"/>
    </row>
    <row r="285" spans="1:25" x14ac:dyDescent="0.25">
      <c r="A285" s="144"/>
      <c r="B285" s="148"/>
      <c r="C285" s="93">
        <f t="shared" si="55"/>
        <v>94</v>
      </c>
      <c r="D285" s="197">
        <f t="shared" ca="1" si="56"/>
        <v>17.291500000000113</v>
      </c>
      <c r="E285" s="197">
        <f t="shared" ca="1" si="57"/>
        <v>17.292500000000114</v>
      </c>
      <c r="F285" s="93" t="str">
        <f t="shared" ca="1" si="58"/>
        <v>17.292 to 17.293</v>
      </c>
      <c r="G285" s="97">
        <f ca="1">COUNTIF(SPC!$C$37:$BA$37,"&lt;="&amp;E285)-COUNTIF(SPC!$C$37:$BA$37,"&lt;="&amp;D285)</f>
        <v>0</v>
      </c>
      <c r="H285" s="93">
        <f t="shared" ca="1" si="54"/>
        <v>1.3211323987575977E-24</v>
      </c>
      <c r="I285" s="104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143"/>
      <c r="X285" s="12"/>
      <c r="Y285" s="12"/>
    </row>
    <row r="286" spans="1:25" x14ac:dyDescent="0.25">
      <c r="A286" s="144"/>
      <c r="B286" s="148"/>
      <c r="C286" s="93">
        <f t="shared" si="55"/>
        <v>95</v>
      </c>
      <c r="D286" s="197">
        <f t="shared" ca="1" si="56"/>
        <v>17.292500000000114</v>
      </c>
      <c r="E286" s="197">
        <f t="shared" ca="1" si="57"/>
        <v>17.293500000000115</v>
      </c>
      <c r="F286" s="93" t="str">
        <f t="shared" ca="1" si="58"/>
        <v>17.293 to 17.294</v>
      </c>
      <c r="G286" s="97">
        <f ca="1">COUNTIF(SPC!$C$37:$BA$37,"&lt;="&amp;E286)-COUNTIF(SPC!$C$37:$BA$37,"&lt;="&amp;D286)</f>
        <v>0</v>
      </c>
      <c r="H286" s="93">
        <f t="shared" ca="1" si="54"/>
        <v>1.986290132549398E-25</v>
      </c>
      <c r="I286" s="104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143"/>
      <c r="X286" s="12"/>
      <c r="Y286" s="12"/>
    </row>
    <row r="287" spans="1:25" x14ac:dyDescent="0.25">
      <c r="A287" s="144"/>
      <c r="B287" s="148"/>
      <c r="C287" s="93">
        <f t="shared" si="55"/>
        <v>96</v>
      </c>
      <c r="D287" s="197">
        <f t="shared" ca="1" si="56"/>
        <v>17.293500000000115</v>
      </c>
      <c r="E287" s="197">
        <f t="shared" ca="1" si="57"/>
        <v>17.294500000000117</v>
      </c>
      <c r="F287" s="93" t="str">
        <f t="shared" ca="1" si="58"/>
        <v>17.294 to 17.295</v>
      </c>
      <c r="G287" s="97">
        <f ca="1">COUNTIF(SPC!$C$37:$BA$37,"&lt;="&amp;E287)-COUNTIF(SPC!$C$37:$BA$37,"&lt;="&amp;D287)</f>
        <v>0</v>
      </c>
      <c r="H287" s="93">
        <f t="shared" ref="H287:H318" ca="1" si="59">IF(G$181&lt;&gt;0,NORMDIST(D$189+C287*D$188-D$188/2,D$182,G$181,FALSE),D287)</f>
        <v>2.8985441138847899E-26</v>
      </c>
      <c r="I287" s="104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143"/>
      <c r="X287" s="12"/>
      <c r="Y287" s="12"/>
    </row>
    <row r="288" spans="1:25" x14ac:dyDescent="0.25">
      <c r="A288" s="144"/>
      <c r="B288" s="148"/>
      <c r="C288" s="93">
        <f t="shared" ref="C288:C319" si="60">C287+1</f>
        <v>97</v>
      </c>
      <c r="D288" s="197">
        <f t="shared" ref="D288:D319" ca="1" si="61">E287</f>
        <v>17.294500000000117</v>
      </c>
      <c r="E288" s="197">
        <f t="shared" ref="E288:E319" ca="1" si="62">D288+$D$188</f>
        <v>17.295500000000118</v>
      </c>
      <c r="F288" s="93" t="str">
        <f t="shared" ref="F288:F319" ca="1" si="63">FIXED(D288,$E$180)&amp;" to "&amp;FIXED(E288,$E$180)</f>
        <v>17.295 to 17.296</v>
      </c>
      <c r="G288" s="97">
        <f ca="1">COUNTIF(SPC!$C$37:$BA$37,"&lt;="&amp;E288)-COUNTIF(SPC!$C$37:$BA$37,"&lt;="&amp;D288)</f>
        <v>0</v>
      </c>
      <c r="H288" s="93">
        <f t="shared" ca="1" si="59"/>
        <v>4.1054241338660593E-27</v>
      </c>
      <c r="I288" s="104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143"/>
      <c r="X288" s="12"/>
      <c r="Y288" s="12"/>
    </row>
    <row r="289" spans="1:25" x14ac:dyDescent="0.25">
      <c r="A289" s="144"/>
      <c r="B289" s="148"/>
      <c r="C289" s="93">
        <f t="shared" si="60"/>
        <v>98</v>
      </c>
      <c r="D289" s="197">
        <f t="shared" ca="1" si="61"/>
        <v>17.295500000000118</v>
      </c>
      <c r="E289" s="197">
        <f t="shared" ca="1" si="62"/>
        <v>17.296500000000119</v>
      </c>
      <c r="F289" s="93" t="str">
        <f t="shared" ca="1" si="63"/>
        <v>17.296 to 17.297</v>
      </c>
      <c r="G289" s="97">
        <f ca="1">COUNTIF(SPC!$C$37:$BA$37,"&lt;="&amp;E289)-COUNTIF(SPC!$C$37:$BA$37,"&lt;="&amp;D289)</f>
        <v>0</v>
      </c>
      <c r="H289" s="93">
        <f t="shared" ca="1" si="59"/>
        <v>5.6438704304926408E-28</v>
      </c>
      <c r="I289" s="104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143"/>
      <c r="X289" s="12"/>
      <c r="Y289" s="12"/>
    </row>
    <row r="290" spans="1:25" x14ac:dyDescent="0.25">
      <c r="A290" s="144"/>
      <c r="B290" s="148"/>
      <c r="C290" s="93">
        <f t="shared" si="60"/>
        <v>99</v>
      </c>
      <c r="D290" s="197">
        <f t="shared" ca="1" si="61"/>
        <v>17.296500000000119</v>
      </c>
      <c r="E290" s="197">
        <f t="shared" ca="1" si="62"/>
        <v>17.29750000000012</v>
      </c>
      <c r="F290" s="93" t="str">
        <f t="shared" ca="1" si="63"/>
        <v>17.297 to 17.298</v>
      </c>
      <c r="G290" s="97">
        <f ca="1">COUNTIF(SPC!$C$37:$BA$37,"&lt;="&amp;E290)-COUNTIF(SPC!$C$37:$BA$37,"&lt;="&amp;D290)</f>
        <v>0</v>
      </c>
      <c r="H290" s="93">
        <f t="shared" ca="1" si="59"/>
        <v>7.5307273799513682E-29</v>
      </c>
      <c r="I290" s="104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143"/>
      <c r="X290" s="12"/>
      <c r="Y290" s="12"/>
    </row>
    <row r="291" spans="1:25" x14ac:dyDescent="0.25">
      <c r="A291" s="144"/>
      <c r="B291" s="148"/>
      <c r="C291" s="93">
        <f t="shared" si="60"/>
        <v>100</v>
      </c>
      <c r="D291" s="197">
        <f t="shared" ca="1" si="61"/>
        <v>17.29750000000012</v>
      </c>
      <c r="E291" s="197">
        <f t="shared" ca="1" si="62"/>
        <v>17.298500000000121</v>
      </c>
      <c r="F291" s="93" t="str">
        <f t="shared" ca="1" si="63"/>
        <v>17.298 to 17.299</v>
      </c>
      <c r="G291" s="97">
        <f ca="1">COUNTIF(SPC!$C$37:$BA$37,"&lt;="&amp;E291)-COUNTIF(SPC!$C$37:$BA$37,"&lt;="&amp;D291)</f>
        <v>0</v>
      </c>
      <c r="H291" s="93">
        <f t="shared" ca="1" si="59"/>
        <v>9.7529883260639062E-30</v>
      </c>
      <c r="I291" s="104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143"/>
      <c r="X291" s="12"/>
      <c r="Y291" s="12"/>
    </row>
    <row r="292" spans="1:25" x14ac:dyDescent="0.25">
      <c r="A292" s="144"/>
      <c r="B292" s="148"/>
      <c r="C292" s="93">
        <f t="shared" si="60"/>
        <v>101</v>
      </c>
      <c r="D292" s="197">
        <f t="shared" ca="1" si="61"/>
        <v>17.298500000000121</v>
      </c>
      <c r="E292" s="197">
        <f t="shared" ca="1" si="62"/>
        <v>17.299500000000123</v>
      </c>
      <c r="F292" s="93" t="str">
        <f t="shared" ca="1" si="63"/>
        <v>17.299 to 17.300</v>
      </c>
      <c r="G292" s="97">
        <f ca="1">COUNTIF(SPC!$C$37:$BA$37,"&lt;="&amp;E292)-COUNTIF(SPC!$C$37:$BA$37,"&lt;="&amp;D292)</f>
        <v>0</v>
      </c>
      <c r="H292" s="93">
        <f t="shared" ca="1" si="59"/>
        <v>1.22596866510839E-30</v>
      </c>
      <c r="I292" s="104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143"/>
      <c r="X292" s="12"/>
      <c r="Y292" s="12"/>
    </row>
    <row r="293" spans="1:25" x14ac:dyDescent="0.25">
      <c r="A293" s="144"/>
      <c r="B293" s="148"/>
      <c r="C293" s="93">
        <f t="shared" si="60"/>
        <v>102</v>
      </c>
      <c r="D293" s="197">
        <f t="shared" ca="1" si="61"/>
        <v>17.299500000000123</v>
      </c>
      <c r="E293" s="197">
        <f t="shared" ca="1" si="62"/>
        <v>17.300500000000124</v>
      </c>
      <c r="F293" s="93" t="str">
        <f t="shared" ca="1" si="63"/>
        <v>17.300 to 17.301</v>
      </c>
      <c r="G293" s="97">
        <f ca="1">COUNTIF(SPC!$C$37:$BA$37,"&lt;="&amp;E293)-COUNTIF(SPC!$C$37:$BA$37,"&lt;="&amp;D293)</f>
        <v>0</v>
      </c>
      <c r="H293" s="93">
        <f t="shared" ca="1" si="59"/>
        <v>1.49576002752313E-31</v>
      </c>
      <c r="I293" s="104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143"/>
      <c r="X293" s="12"/>
      <c r="Y293" s="12"/>
    </row>
    <row r="294" spans="1:25" x14ac:dyDescent="0.25">
      <c r="A294" s="144"/>
      <c r="B294" s="148"/>
      <c r="C294" s="93">
        <f t="shared" si="60"/>
        <v>103</v>
      </c>
      <c r="D294" s="197">
        <f t="shared" ca="1" si="61"/>
        <v>17.300500000000124</v>
      </c>
      <c r="E294" s="197">
        <f t="shared" ca="1" si="62"/>
        <v>17.301500000000125</v>
      </c>
      <c r="F294" s="93" t="str">
        <f t="shared" ca="1" si="63"/>
        <v>17.301 to 17.302</v>
      </c>
      <c r="G294" s="97">
        <f ca="1">COUNTIF(SPC!$C$37:$BA$37,"&lt;="&amp;E294)-COUNTIF(SPC!$C$37:$BA$37,"&lt;="&amp;D294)</f>
        <v>0</v>
      </c>
      <c r="H294" s="93">
        <f t="shared" ca="1" si="59"/>
        <v>1.7712724316123631E-32</v>
      </c>
      <c r="I294" s="104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143"/>
      <c r="X294" s="12"/>
      <c r="Y294" s="12"/>
    </row>
    <row r="295" spans="1:25" x14ac:dyDescent="0.25">
      <c r="A295" s="144"/>
      <c r="B295" s="148"/>
      <c r="C295" s="93">
        <f t="shared" si="60"/>
        <v>104</v>
      </c>
      <c r="D295" s="197">
        <f t="shared" ca="1" si="61"/>
        <v>17.301500000000125</v>
      </c>
      <c r="E295" s="197">
        <f t="shared" ca="1" si="62"/>
        <v>17.302500000000126</v>
      </c>
      <c r="F295" s="93" t="str">
        <f t="shared" ca="1" si="63"/>
        <v>17.302 to 17.303</v>
      </c>
      <c r="G295" s="97">
        <f ca="1">COUNTIF(SPC!$C$37:$BA$37,"&lt;="&amp;E295)-COUNTIF(SPC!$C$37:$BA$37,"&lt;="&amp;D295)</f>
        <v>0</v>
      </c>
      <c r="H295" s="93">
        <f t="shared" ca="1" si="59"/>
        <v>2.0358683498170469E-33</v>
      </c>
      <c r="I295" s="104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143"/>
      <c r="X295" s="12"/>
      <c r="Y295" s="12"/>
    </row>
    <row r="296" spans="1:25" x14ac:dyDescent="0.25">
      <c r="A296" s="144"/>
      <c r="B296" s="148"/>
      <c r="C296" s="93">
        <f t="shared" si="60"/>
        <v>105</v>
      </c>
      <c r="D296" s="197">
        <f t="shared" ca="1" si="61"/>
        <v>17.302500000000126</v>
      </c>
      <c r="E296" s="197">
        <f t="shared" ca="1" si="62"/>
        <v>17.303500000000128</v>
      </c>
      <c r="F296" s="93" t="str">
        <f t="shared" ca="1" si="63"/>
        <v>17.303 to 17.304</v>
      </c>
      <c r="G296" s="97">
        <f ca="1">COUNTIF(SPC!$C$37:$BA$37,"&lt;="&amp;E296)-COUNTIF(SPC!$C$37:$BA$37,"&lt;="&amp;D296)</f>
        <v>0</v>
      </c>
      <c r="H296" s="93">
        <f t="shared" ca="1" si="59"/>
        <v>2.2711975212770432E-34</v>
      </c>
      <c r="I296" s="104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143"/>
      <c r="X296" s="12"/>
      <c r="Y296" s="12"/>
    </row>
    <row r="297" spans="1:25" x14ac:dyDescent="0.25">
      <c r="A297" s="144"/>
      <c r="B297" s="148"/>
      <c r="C297" s="93">
        <f t="shared" si="60"/>
        <v>106</v>
      </c>
      <c r="D297" s="197">
        <f t="shared" ca="1" si="61"/>
        <v>17.303500000000128</v>
      </c>
      <c r="E297" s="197">
        <f t="shared" ca="1" si="62"/>
        <v>17.304500000000129</v>
      </c>
      <c r="F297" s="93" t="str">
        <f t="shared" ca="1" si="63"/>
        <v>17.304 to 17.305</v>
      </c>
      <c r="G297" s="97">
        <f ca="1">COUNTIF(SPC!$C$37:$BA$37,"&lt;="&amp;E297)-COUNTIF(SPC!$C$37:$BA$37,"&lt;="&amp;D297)</f>
        <v>0</v>
      </c>
      <c r="H297" s="93">
        <f t="shared" ca="1" si="59"/>
        <v>2.4592405294804993E-35</v>
      </c>
      <c r="I297" s="104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143"/>
      <c r="X297" s="12"/>
      <c r="Y297" s="12"/>
    </row>
    <row r="298" spans="1:25" x14ac:dyDescent="0.25">
      <c r="A298" s="144"/>
      <c r="B298" s="148"/>
      <c r="C298" s="93">
        <f t="shared" si="60"/>
        <v>107</v>
      </c>
      <c r="D298" s="197">
        <f t="shared" ca="1" si="61"/>
        <v>17.304500000000129</v>
      </c>
      <c r="E298" s="197">
        <f t="shared" ca="1" si="62"/>
        <v>17.30550000000013</v>
      </c>
      <c r="F298" s="93" t="str">
        <f t="shared" ca="1" si="63"/>
        <v>17.305 to 17.306</v>
      </c>
      <c r="G298" s="97">
        <f ca="1">COUNTIF(SPC!$C$37:$BA$37,"&lt;="&amp;E298)-COUNTIF(SPC!$C$37:$BA$37,"&lt;="&amp;D298)</f>
        <v>0</v>
      </c>
      <c r="H298" s="93">
        <f t="shared" ca="1" si="59"/>
        <v>2.5845682022930378E-36</v>
      </c>
      <c r="I298" s="104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143"/>
      <c r="X298" s="12"/>
      <c r="Y298" s="12"/>
    </row>
    <row r="299" spans="1:25" x14ac:dyDescent="0.25">
      <c r="A299" s="144"/>
      <c r="B299" s="148"/>
      <c r="C299" s="93">
        <f t="shared" si="60"/>
        <v>108</v>
      </c>
      <c r="D299" s="197">
        <f t="shared" ca="1" si="61"/>
        <v>17.30550000000013</v>
      </c>
      <c r="E299" s="197">
        <f t="shared" ca="1" si="62"/>
        <v>17.306500000000131</v>
      </c>
      <c r="F299" s="93" t="str">
        <f t="shared" ca="1" si="63"/>
        <v>17.306 to 17.307</v>
      </c>
      <c r="G299" s="97">
        <f ca="1">COUNTIF(SPC!$C$37:$BA$37,"&lt;="&amp;E299)-COUNTIF(SPC!$C$37:$BA$37,"&lt;="&amp;D299)</f>
        <v>0</v>
      </c>
      <c r="H299" s="93">
        <f t="shared" ca="1" si="59"/>
        <v>2.6364277460039649E-37</v>
      </c>
      <c r="I299" s="104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143"/>
      <c r="X299" s="12"/>
      <c r="Y299" s="12"/>
    </row>
    <row r="300" spans="1:25" x14ac:dyDescent="0.25">
      <c r="A300" s="144"/>
      <c r="B300" s="148"/>
      <c r="C300" s="93">
        <f t="shared" si="60"/>
        <v>109</v>
      </c>
      <c r="D300" s="197">
        <f t="shared" ca="1" si="61"/>
        <v>17.306500000000131</v>
      </c>
      <c r="E300" s="197">
        <f t="shared" ca="1" si="62"/>
        <v>17.307500000000132</v>
      </c>
      <c r="F300" s="93" t="str">
        <f t="shared" ca="1" si="63"/>
        <v>17.307 to 17.308</v>
      </c>
      <c r="G300" s="97">
        <f ca="1">COUNTIF(SPC!$C$37:$BA$37,"&lt;="&amp;E300)-COUNTIF(SPC!$C$37:$BA$37,"&lt;="&amp;D300)</f>
        <v>0</v>
      </c>
      <c r="H300" s="93">
        <f t="shared" ca="1" si="59"/>
        <v>2.6102652241805292E-38</v>
      </c>
      <c r="I300" s="104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143"/>
      <c r="X300" s="12"/>
      <c r="Y300" s="12"/>
    </row>
    <row r="301" spans="1:25" x14ac:dyDescent="0.25">
      <c r="A301" s="144"/>
      <c r="B301" s="148"/>
      <c r="C301" s="93">
        <f t="shared" si="60"/>
        <v>110</v>
      </c>
      <c r="D301" s="197">
        <f t="shared" ca="1" si="61"/>
        <v>17.307500000000132</v>
      </c>
      <c r="E301" s="197">
        <f t="shared" ca="1" si="62"/>
        <v>17.308500000000134</v>
      </c>
      <c r="F301" s="93" t="str">
        <f t="shared" ca="1" si="63"/>
        <v>17.308 to 17.309</v>
      </c>
      <c r="G301" s="97">
        <f ca="1">COUNTIF(SPC!$C$37:$BA$37,"&lt;="&amp;E301)-COUNTIF(SPC!$C$37:$BA$37,"&lt;="&amp;D301)</f>
        <v>0</v>
      </c>
      <c r="H301" s="93">
        <f t="shared" ca="1" si="59"/>
        <v>2.5083855402848278E-39</v>
      </c>
      <c r="I301" s="104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143"/>
      <c r="X301" s="12"/>
      <c r="Y301" s="12"/>
    </row>
    <row r="302" spans="1:25" x14ac:dyDescent="0.25">
      <c r="A302" s="144"/>
      <c r="B302" s="148"/>
      <c r="C302" s="93">
        <f t="shared" si="60"/>
        <v>111</v>
      </c>
      <c r="D302" s="197">
        <f t="shared" ca="1" si="61"/>
        <v>17.308500000000134</v>
      </c>
      <c r="E302" s="197">
        <f t="shared" ca="1" si="62"/>
        <v>17.309500000000135</v>
      </c>
      <c r="F302" s="93" t="str">
        <f t="shared" ca="1" si="63"/>
        <v>17.309 to 17.310</v>
      </c>
      <c r="G302" s="97">
        <f ca="1">COUNTIF(SPC!$C$37:$BA$37,"&lt;="&amp;E302)-COUNTIF(SPC!$C$37:$BA$37,"&lt;="&amp;D302)</f>
        <v>0</v>
      </c>
      <c r="H302" s="93">
        <f t="shared" ca="1" si="59"/>
        <v>2.3396173161502885E-40</v>
      </c>
      <c r="I302" s="104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143"/>
      <c r="X302" s="12"/>
      <c r="Y302" s="12"/>
    </row>
    <row r="303" spans="1:25" x14ac:dyDescent="0.25">
      <c r="A303" s="144"/>
      <c r="B303" s="148"/>
      <c r="C303" s="93">
        <f t="shared" si="60"/>
        <v>112</v>
      </c>
      <c r="D303" s="197">
        <f t="shared" ca="1" si="61"/>
        <v>17.309500000000135</v>
      </c>
      <c r="E303" s="197">
        <f t="shared" ca="1" si="62"/>
        <v>17.310500000000136</v>
      </c>
      <c r="F303" s="93" t="str">
        <f t="shared" ca="1" si="63"/>
        <v>17.310 to 17.311</v>
      </c>
      <c r="G303" s="97">
        <f ca="1">COUNTIF(SPC!$C$37:$BA$37,"&lt;="&amp;E303)-COUNTIF(SPC!$C$37:$BA$37,"&lt;="&amp;D303)</f>
        <v>0</v>
      </c>
      <c r="H303" s="93">
        <f t="shared" ca="1" si="59"/>
        <v>2.1180502176915744E-41</v>
      </c>
      <c r="I303" s="104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143"/>
      <c r="X303" s="12"/>
      <c r="Y303" s="12"/>
    </row>
    <row r="304" spans="1:25" x14ac:dyDescent="0.25">
      <c r="A304" s="144"/>
      <c r="B304" s="148"/>
      <c r="C304" s="93">
        <f t="shared" si="60"/>
        <v>113</v>
      </c>
      <c r="D304" s="197">
        <f t="shared" ca="1" si="61"/>
        <v>17.310500000000136</v>
      </c>
      <c r="E304" s="197">
        <f t="shared" ca="1" si="62"/>
        <v>17.311500000000137</v>
      </c>
      <c r="F304" s="93" t="str">
        <f t="shared" ca="1" si="63"/>
        <v>17.311 to 17.312</v>
      </c>
      <c r="G304" s="97">
        <f ca="1">COUNTIF(SPC!$C$37:$BA$37,"&lt;="&amp;E304)-COUNTIF(SPC!$C$37:$BA$37,"&lt;="&amp;D304)</f>
        <v>0</v>
      </c>
      <c r="H304" s="93">
        <f t="shared" ca="1" si="59"/>
        <v>1.8610951002343056E-42</v>
      </c>
      <c r="I304" s="104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143"/>
      <c r="X304" s="12"/>
      <c r="Y304" s="12"/>
    </row>
    <row r="305" spans="1:25" x14ac:dyDescent="0.25">
      <c r="A305" s="144"/>
      <c r="B305" s="148"/>
      <c r="C305" s="93">
        <f t="shared" si="60"/>
        <v>114</v>
      </c>
      <c r="D305" s="197">
        <f t="shared" ca="1" si="61"/>
        <v>17.311500000000137</v>
      </c>
      <c r="E305" s="197">
        <f t="shared" ca="1" si="62"/>
        <v>17.312500000000139</v>
      </c>
      <c r="F305" s="93" t="str">
        <f t="shared" ca="1" si="63"/>
        <v>17.312 to 17.313</v>
      </c>
      <c r="G305" s="97">
        <f ca="1">COUNTIF(SPC!$C$37:$BA$37,"&lt;="&amp;E305)-COUNTIF(SPC!$C$37:$BA$37,"&lt;="&amp;D305)</f>
        <v>0</v>
      </c>
      <c r="H305" s="93">
        <f t="shared" ca="1" si="59"/>
        <v>1.5872369534549201E-43</v>
      </c>
      <c r="I305" s="104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143"/>
      <c r="X305" s="12"/>
      <c r="Y305" s="12"/>
    </row>
    <row r="306" spans="1:25" x14ac:dyDescent="0.25">
      <c r="A306" s="144"/>
      <c r="B306" s="148"/>
      <c r="C306" s="93">
        <f t="shared" si="60"/>
        <v>115</v>
      </c>
      <c r="D306" s="197">
        <f t="shared" ca="1" si="61"/>
        <v>17.312500000000139</v>
      </c>
      <c r="E306" s="197">
        <f t="shared" ca="1" si="62"/>
        <v>17.31350000000014</v>
      </c>
      <c r="F306" s="93" t="str">
        <f t="shared" ca="1" si="63"/>
        <v>17.313 to 17.314</v>
      </c>
      <c r="G306" s="97">
        <f ca="1">COUNTIF(SPC!$C$37:$BA$37,"&lt;="&amp;E306)-COUNTIF(SPC!$C$37:$BA$37,"&lt;="&amp;D306)</f>
        <v>0</v>
      </c>
      <c r="H306" s="93">
        <f t="shared" ca="1" si="59"/>
        <v>1.3138804590570981E-44</v>
      </c>
      <c r="I306" s="104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143"/>
      <c r="X306" s="12"/>
      <c r="Y306" s="12"/>
    </row>
    <row r="307" spans="1:25" x14ac:dyDescent="0.25">
      <c r="A307" s="144"/>
      <c r="B307" s="148"/>
      <c r="C307" s="93">
        <f t="shared" si="60"/>
        <v>116</v>
      </c>
      <c r="D307" s="197">
        <f t="shared" ca="1" si="61"/>
        <v>17.31350000000014</v>
      </c>
      <c r="E307" s="197">
        <f t="shared" ca="1" si="62"/>
        <v>17.314500000000141</v>
      </c>
      <c r="F307" s="93" t="str">
        <f t="shared" ca="1" si="63"/>
        <v>17.314 to 17.315</v>
      </c>
      <c r="G307" s="97">
        <f ca="1">COUNTIF(SPC!$C$37:$BA$37,"&lt;="&amp;E307)-COUNTIF(SPC!$C$37:$BA$37,"&lt;="&amp;D307)</f>
        <v>0</v>
      </c>
      <c r="H307" s="93">
        <f t="shared" ca="1" si="59"/>
        <v>1.0556278231180918E-45</v>
      </c>
      <c r="I307" s="104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143"/>
      <c r="X307" s="12"/>
      <c r="Y307" s="12"/>
    </row>
    <row r="308" spans="1:25" x14ac:dyDescent="0.25">
      <c r="A308" s="144"/>
      <c r="B308" s="148"/>
      <c r="C308" s="93">
        <f t="shared" si="60"/>
        <v>117</v>
      </c>
      <c r="D308" s="197">
        <f t="shared" ca="1" si="61"/>
        <v>17.314500000000141</v>
      </c>
      <c r="E308" s="197">
        <f t="shared" ca="1" si="62"/>
        <v>17.315500000000142</v>
      </c>
      <c r="F308" s="93" t="str">
        <f t="shared" ca="1" si="63"/>
        <v>17.315 to 17.316</v>
      </c>
      <c r="G308" s="97">
        <f ca="1">COUNTIF(SPC!$C$37:$BA$37,"&lt;="&amp;E308)-COUNTIF(SPC!$C$37:$BA$37,"&lt;="&amp;D308)</f>
        <v>0</v>
      </c>
      <c r="H308" s="93">
        <f t="shared" ca="1" si="59"/>
        <v>8.2320251856001061E-47</v>
      </c>
      <c r="I308" s="104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143"/>
      <c r="X308" s="12"/>
      <c r="Y308" s="12"/>
    </row>
    <row r="309" spans="1:25" x14ac:dyDescent="0.25">
      <c r="A309" s="144"/>
      <c r="B309" s="148"/>
      <c r="C309" s="93">
        <f t="shared" si="60"/>
        <v>118</v>
      </c>
      <c r="D309" s="197">
        <f t="shared" ca="1" si="61"/>
        <v>17.315500000000142</v>
      </c>
      <c r="E309" s="197">
        <f t="shared" ca="1" si="62"/>
        <v>17.316500000000143</v>
      </c>
      <c r="F309" s="93" t="str">
        <f t="shared" ca="1" si="63"/>
        <v>17.316 to 17.317</v>
      </c>
      <c r="G309" s="97">
        <f ca="1">COUNTIF(SPC!$C$37:$BA$37,"&lt;="&amp;E309)-COUNTIF(SPC!$C$37:$BA$37,"&lt;="&amp;D309)</f>
        <v>0</v>
      </c>
      <c r="H309" s="93">
        <f t="shared" ca="1" si="59"/>
        <v>6.2307946716667434E-48</v>
      </c>
      <c r="I309" s="104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143"/>
      <c r="X309" s="12"/>
      <c r="Y309" s="12"/>
    </row>
    <row r="310" spans="1:25" x14ac:dyDescent="0.25">
      <c r="A310" s="144"/>
      <c r="B310" s="148"/>
      <c r="C310" s="93">
        <f t="shared" si="60"/>
        <v>119</v>
      </c>
      <c r="D310" s="197">
        <f t="shared" ca="1" si="61"/>
        <v>17.316500000000143</v>
      </c>
      <c r="E310" s="197">
        <f t="shared" ca="1" si="62"/>
        <v>17.317500000000145</v>
      </c>
      <c r="F310" s="93" t="str">
        <f t="shared" ca="1" si="63"/>
        <v>17.317 to 17.318</v>
      </c>
      <c r="G310" s="97">
        <f ca="1">COUNTIF(SPC!$C$37:$BA$37,"&lt;="&amp;E310)-COUNTIF(SPC!$C$37:$BA$37,"&lt;="&amp;D310)</f>
        <v>0</v>
      </c>
      <c r="H310" s="93">
        <f t="shared" ca="1" si="59"/>
        <v>4.5774233058401006E-49</v>
      </c>
      <c r="I310" s="104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143"/>
      <c r="X310" s="12"/>
      <c r="Y310" s="12"/>
    </row>
    <row r="311" spans="1:25" x14ac:dyDescent="0.25">
      <c r="A311" s="144"/>
      <c r="B311" s="148"/>
      <c r="C311" s="93">
        <f t="shared" si="60"/>
        <v>120</v>
      </c>
      <c r="D311" s="197">
        <f t="shared" ca="1" si="61"/>
        <v>17.317500000000145</v>
      </c>
      <c r="E311" s="197">
        <f t="shared" ca="1" si="62"/>
        <v>17.318500000000146</v>
      </c>
      <c r="F311" s="93" t="str">
        <f t="shared" ca="1" si="63"/>
        <v>17.318 to 17.319</v>
      </c>
      <c r="G311" s="97">
        <f ca="1">COUNTIF(SPC!$C$37:$BA$37,"&lt;="&amp;E311)-COUNTIF(SPC!$C$37:$BA$37,"&lt;="&amp;D311)</f>
        <v>0</v>
      </c>
      <c r="H311" s="93">
        <f t="shared" ca="1" si="59"/>
        <v>3.2639207134203276E-50</v>
      </c>
      <c r="I311" s="104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143"/>
      <c r="X311" s="12"/>
      <c r="Y311" s="12"/>
    </row>
    <row r="312" spans="1:25" x14ac:dyDescent="0.25">
      <c r="A312" s="144"/>
      <c r="B312" s="148"/>
      <c r="C312" s="93">
        <f t="shared" si="60"/>
        <v>121</v>
      </c>
      <c r="D312" s="197">
        <f t="shared" ca="1" si="61"/>
        <v>17.318500000000146</v>
      </c>
      <c r="E312" s="197">
        <f t="shared" ca="1" si="62"/>
        <v>17.319500000000147</v>
      </c>
      <c r="F312" s="93" t="str">
        <f t="shared" ca="1" si="63"/>
        <v>17.319 to 17.320</v>
      </c>
      <c r="G312" s="97">
        <f ca="1">COUNTIF(SPC!$C$37:$BA$37,"&lt;="&amp;E312)-COUNTIF(SPC!$C$37:$BA$37,"&lt;="&amp;D312)</f>
        <v>0</v>
      </c>
      <c r="H312" s="93">
        <f t="shared" ca="1" si="59"/>
        <v>2.2589104348349129E-51</v>
      </c>
      <c r="I312" s="104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143"/>
      <c r="X312" s="12"/>
      <c r="Y312" s="12"/>
    </row>
    <row r="313" spans="1:25" x14ac:dyDescent="0.25">
      <c r="A313" s="144"/>
      <c r="B313" s="148"/>
      <c r="C313" s="93">
        <f t="shared" si="60"/>
        <v>122</v>
      </c>
      <c r="D313" s="197">
        <f t="shared" ca="1" si="61"/>
        <v>17.319500000000147</v>
      </c>
      <c r="E313" s="197">
        <f t="shared" ca="1" si="62"/>
        <v>17.320500000000148</v>
      </c>
      <c r="F313" s="93" t="str">
        <f t="shared" ca="1" si="63"/>
        <v>17.320 to 17.321</v>
      </c>
      <c r="G313" s="97">
        <f ca="1">COUNTIF(SPC!$C$37:$BA$37,"&lt;="&amp;E313)-COUNTIF(SPC!$C$37:$BA$37,"&lt;="&amp;D313)</f>
        <v>0</v>
      </c>
      <c r="H313" s="93">
        <f t="shared" ca="1" si="59"/>
        <v>1.5173973108985312E-52</v>
      </c>
      <c r="I313" s="104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143"/>
      <c r="X313" s="12"/>
      <c r="Y313" s="12"/>
    </row>
    <row r="314" spans="1:25" x14ac:dyDescent="0.25">
      <c r="A314" s="144"/>
      <c r="B314" s="148"/>
      <c r="C314" s="93">
        <f t="shared" si="60"/>
        <v>123</v>
      </c>
      <c r="D314" s="197">
        <f t="shared" ca="1" si="61"/>
        <v>17.320500000000148</v>
      </c>
      <c r="E314" s="197">
        <f t="shared" ca="1" si="62"/>
        <v>17.32150000000015</v>
      </c>
      <c r="F314" s="93" t="str">
        <f t="shared" ca="1" si="63"/>
        <v>17.321 to 17.322</v>
      </c>
      <c r="G314" s="97">
        <f ca="1">COUNTIF(SPC!$C$37:$BA$37,"&lt;="&amp;E314)-COUNTIF(SPC!$C$37:$BA$37,"&lt;="&amp;D314)</f>
        <v>0</v>
      </c>
      <c r="H314" s="93">
        <f t="shared" ca="1" si="59"/>
        <v>9.893284445746345E-54</v>
      </c>
      <c r="I314" s="104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143"/>
      <c r="X314" s="12"/>
      <c r="Y314" s="12"/>
    </row>
    <row r="315" spans="1:25" x14ac:dyDescent="0.25">
      <c r="A315" s="144"/>
      <c r="B315" s="148"/>
      <c r="C315" s="93">
        <f t="shared" si="60"/>
        <v>124</v>
      </c>
      <c r="D315" s="197">
        <f t="shared" ca="1" si="61"/>
        <v>17.32150000000015</v>
      </c>
      <c r="E315" s="197">
        <f t="shared" ca="1" si="62"/>
        <v>17.322500000000151</v>
      </c>
      <c r="F315" s="93" t="str">
        <f t="shared" ca="1" si="63"/>
        <v>17.322 to 17.323</v>
      </c>
      <c r="G315" s="97">
        <f ca="1">COUNTIF(SPC!$C$37:$BA$37,"&lt;="&amp;E315)-COUNTIF(SPC!$C$37:$BA$37,"&lt;="&amp;D315)</f>
        <v>0</v>
      </c>
      <c r="H315" s="93">
        <f t="shared" ca="1" si="59"/>
        <v>6.2606953160676489E-55</v>
      </c>
      <c r="I315" s="104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143"/>
      <c r="X315" s="12"/>
      <c r="Y315" s="12"/>
    </row>
    <row r="316" spans="1:25" x14ac:dyDescent="0.25">
      <c r="A316" s="144"/>
      <c r="B316" s="148"/>
      <c r="C316" s="93">
        <f t="shared" si="60"/>
        <v>125</v>
      </c>
      <c r="D316" s="197">
        <f t="shared" ca="1" si="61"/>
        <v>17.322500000000151</v>
      </c>
      <c r="E316" s="197">
        <f t="shared" ca="1" si="62"/>
        <v>17.323500000000152</v>
      </c>
      <c r="F316" s="93" t="str">
        <f t="shared" ca="1" si="63"/>
        <v>17.323 to 17.324</v>
      </c>
      <c r="G316" s="97">
        <f ca="1">COUNTIF(SPC!$C$37:$BA$37,"&lt;="&amp;E316)-COUNTIF(SPC!$C$37:$BA$37,"&lt;="&amp;D316)</f>
        <v>0</v>
      </c>
      <c r="H316" s="93">
        <f t="shared" ca="1" si="59"/>
        <v>3.8454354812938117E-56</v>
      </c>
      <c r="I316" s="104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143"/>
      <c r="X316" s="12"/>
      <c r="Y316" s="12"/>
    </row>
    <row r="317" spans="1:25" x14ac:dyDescent="0.25">
      <c r="A317" s="144"/>
      <c r="B317" s="148"/>
      <c r="C317" s="93">
        <f t="shared" si="60"/>
        <v>126</v>
      </c>
      <c r="D317" s="197">
        <f t="shared" ca="1" si="61"/>
        <v>17.323500000000152</v>
      </c>
      <c r="E317" s="197">
        <f t="shared" ca="1" si="62"/>
        <v>17.324500000000153</v>
      </c>
      <c r="F317" s="93" t="str">
        <f t="shared" ca="1" si="63"/>
        <v>17.324 to 17.325</v>
      </c>
      <c r="G317" s="97">
        <f ca="1">COUNTIF(SPC!$C$37:$BA$37,"&lt;="&amp;E317)-COUNTIF(SPC!$C$37:$BA$37,"&lt;="&amp;D317)</f>
        <v>0</v>
      </c>
      <c r="H317" s="93">
        <f t="shared" ca="1" si="59"/>
        <v>2.2925001710052715E-57</v>
      </c>
      <c r="I317" s="104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143"/>
      <c r="X317" s="12"/>
      <c r="Y317" s="12"/>
    </row>
    <row r="318" spans="1:25" x14ac:dyDescent="0.25">
      <c r="A318" s="144"/>
      <c r="B318" s="148"/>
      <c r="C318" s="93">
        <f t="shared" si="60"/>
        <v>127</v>
      </c>
      <c r="D318" s="197">
        <f t="shared" ca="1" si="61"/>
        <v>17.324500000000153</v>
      </c>
      <c r="E318" s="197">
        <f t="shared" ca="1" si="62"/>
        <v>17.325500000000154</v>
      </c>
      <c r="F318" s="93" t="str">
        <f t="shared" ca="1" si="63"/>
        <v>17.325 to 17.326</v>
      </c>
      <c r="G318" s="97">
        <f ca="1">COUNTIF(SPC!$C$37:$BA$37,"&lt;="&amp;E318)-COUNTIF(SPC!$C$37:$BA$37,"&lt;="&amp;D318)</f>
        <v>0</v>
      </c>
      <c r="H318" s="93">
        <f t="shared" ca="1" si="59"/>
        <v>1.3265209448879207E-58</v>
      </c>
      <c r="I318" s="104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143"/>
    </row>
    <row r="319" spans="1:25" x14ac:dyDescent="0.25">
      <c r="A319" s="144"/>
      <c r="B319" s="148"/>
      <c r="C319" s="93">
        <f t="shared" si="60"/>
        <v>128</v>
      </c>
      <c r="D319" s="197">
        <f t="shared" ca="1" si="61"/>
        <v>17.325500000000154</v>
      </c>
      <c r="E319" s="197">
        <f t="shared" ca="1" si="62"/>
        <v>17.326500000000156</v>
      </c>
      <c r="F319" s="93" t="str">
        <f t="shared" ca="1" si="63"/>
        <v>17.326 to 17.327</v>
      </c>
      <c r="G319" s="97">
        <f ca="1">COUNTIF(SPC!$C$37:$BA$37,"&lt;="&amp;E319)-COUNTIF(SPC!$C$37:$BA$37,"&lt;="&amp;D319)</f>
        <v>0</v>
      </c>
      <c r="H319" s="93">
        <f t="shared" ref="H319:H341" ca="1" si="64">IF(G$181&lt;&gt;0,NORMDIST(D$189+C319*D$188-D$188/2,D$182,G$181,FALSE),D319)</f>
        <v>7.4500593707091033E-60</v>
      </c>
      <c r="I319" s="104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143"/>
    </row>
    <row r="320" spans="1:25" x14ac:dyDescent="0.25">
      <c r="A320" s="144"/>
      <c r="B320" s="148"/>
      <c r="C320" s="93">
        <f t="shared" ref="C320:C341" si="65">C319+1</f>
        <v>129</v>
      </c>
      <c r="D320" s="197">
        <f t="shared" ref="D320:D341" ca="1" si="66">E319</f>
        <v>17.326500000000156</v>
      </c>
      <c r="E320" s="197">
        <f t="shared" ref="E320:E341" ca="1" si="67">D320+$D$188</f>
        <v>17.327500000000157</v>
      </c>
      <c r="F320" s="93" t="str">
        <f t="shared" ref="F320:F341" ca="1" si="68">FIXED(D320,$E$180)&amp;" to "&amp;FIXED(E320,$E$180)</f>
        <v>17.327 to 17.328</v>
      </c>
      <c r="G320" s="97">
        <f ca="1">COUNTIF(SPC!$C$37:$BA$37,"&lt;="&amp;E320)-COUNTIF(SPC!$C$37:$BA$37,"&lt;="&amp;D320)</f>
        <v>0</v>
      </c>
      <c r="H320" s="93">
        <f t="shared" ca="1" si="64"/>
        <v>4.0611239339914968E-61</v>
      </c>
      <c r="I320" s="104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143"/>
    </row>
    <row r="321" spans="1:23" x14ac:dyDescent="0.25">
      <c r="A321" s="144"/>
      <c r="B321" s="148"/>
      <c r="C321" s="93">
        <f t="shared" si="65"/>
        <v>130</v>
      </c>
      <c r="D321" s="197">
        <f t="shared" ca="1" si="66"/>
        <v>17.327500000000157</v>
      </c>
      <c r="E321" s="197">
        <f t="shared" ca="1" si="67"/>
        <v>17.328500000000158</v>
      </c>
      <c r="F321" s="93" t="str">
        <f t="shared" ca="1" si="68"/>
        <v>17.328 to 17.329</v>
      </c>
      <c r="G321" s="97">
        <f ca="1">COUNTIF(SPC!$C$37:$BA$37,"&lt;="&amp;E321)-COUNTIF(SPC!$C$37:$BA$37,"&lt;="&amp;D321)</f>
        <v>0</v>
      </c>
      <c r="H321" s="93">
        <f t="shared" ca="1" si="64"/>
        <v>2.148689392367888E-62</v>
      </c>
      <c r="I321" s="104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143"/>
    </row>
    <row r="322" spans="1:23" x14ac:dyDescent="0.25">
      <c r="A322" s="144"/>
      <c r="B322" s="148"/>
      <c r="C322" s="93">
        <f t="shared" si="65"/>
        <v>131</v>
      </c>
      <c r="D322" s="197">
        <f t="shared" ca="1" si="66"/>
        <v>17.328500000000158</v>
      </c>
      <c r="E322" s="197">
        <f t="shared" ca="1" si="67"/>
        <v>17.329500000000159</v>
      </c>
      <c r="F322" s="93" t="str">
        <f t="shared" ca="1" si="68"/>
        <v>17.329 to 17.330</v>
      </c>
      <c r="G322" s="97">
        <f ca="1">COUNTIF(SPC!$C$37:$BA$37,"&lt;="&amp;E322)-COUNTIF(SPC!$C$37:$BA$37,"&lt;="&amp;D322)</f>
        <v>0</v>
      </c>
      <c r="H322" s="93">
        <f t="shared" ca="1" si="64"/>
        <v>1.1034227243874042E-63</v>
      </c>
      <c r="I322" s="104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143"/>
    </row>
    <row r="323" spans="1:23" x14ac:dyDescent="0.25">
      <c r="A323" s="144"/>
      <c r="B323" s="148"/>
      <c r="C323" s="93">
        <f t="shared" si="65"/>
        <v>132</v>
      </c>
      <c r="D323" s="197">
        <f t="shared" ca="1" si="66"/>
        <v>17.329500000000159</v>
      </c>
      <c r="E323" s="197">
        <f t="shared" ca="1" si="67"/>
        <v>17.330500000000161</v>
      </c>
      <c r="F323" s="93" t="str">
        <f t="shared" ca="1" si="68"/>
        <v>17.330 to 17.331</v>
      </c>
      <c r="G323" s="97">
        <f ca="1">COUNTIF(SPC!$C$37:$BA$37,"&lt;="&amp;E323)-COUNTIF(SPC!$C$37:$BA$37,"&lt;="&amp;D323)</f>
        <v>0</v>
      </c>
      <c r="H323" s="93">
        <f t="shared" ca="1" si="64"/>
        <v>5.4998531668061189E-65</v>
      </c>
      <c r="I323" s="104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143"/>
    </row>
    <row r="324" spans="1:23" x14ac:dyDescent="0.25">
      <c r="A324" s="144"/>
      <c r="B324" s="148"/>
      <c r="C324" s="93">
        <f t="shared" si="65"/>
        <v>133</v>
      </c>
      <c r="D324" s="197">
        <f t="shared" ca="1" si="66"/>
        <v>17.330500000000161</v>
      </c>
      <c r="E324" s="197">
        <f t="shared" ca="1" si="67"/>
        <v>17.331500000000162</v>
      </c>
      <c r="F324" s="93" t="str">
        <f t="shared" ca="1" si="68"/>
        <v>17.331 to 17.332</v>
      </c>
      <c r="G324" s="97">
        <f ca="1">COUNTIF(SPC!$C$37:$BA$37,"&lt;="&amp;E324)-COUNTIF(SPC!$C$37:$BA$37,"&lt;="&amp;D324)</f>
        <v>0</v>
      </c>
      <c r="H324" s="93">
        <f t="shared" ca="1" si="64"/>
        <v>2.6607321268844973E-66</v>
      </c>
      <c r="I324" s="104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143"/>
    </row>
    <row r="325" spans="1:23" x14ac:dyDescent="0.25">
      <c r="A325" s="144"/>
      <c r="B325" s="148"/>
      <c r="C325" s="93">
        <f t="shared" si="65"/>
        <v>134</v>
      </c>
      <c r="D325" s="197">
        <f t="shared" ca="1" si="66"/>
        <v>17.331500000000162</v>
      </c>
      <c r="E325" s="197">
        <f t="shared" ca="1" si="67"/>
        <v>17.332500000000163</v>
      </c>
      <c r="F325" s="93" t="str">
        <f t="shared" ca="1" si="68"/>
        <v>17.332 to 17.333</v>
      </c>
      <c r="G325" s="97">
        <f ca="1">COUNTIF(SPC!$C$37:$BA$37,"&lt;="&amp;E325)-COUNTIF(SPC!$C$37:$BA$37,"&lt;="&amp;D325)</f>
        <v>0</v>
      </c>
      <c r="H325" s="93">
        <f t="shared" ca="1" si="64"/>
        <v>1.2493729512645253E-67</v>
      </c>
      <c r="I325" s="104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143"/>
    </row>
    <row r="326" spans="1:23" x14ac:dyDescent="0.25">
      <c r="A326" s="144"/>
      <c r="B326" s="148"/>
      <c r="C326" s="93">
        <f t="shared" si="65"/>
        <v>135</v>
      </c>
      <c r="D326" s="197">
        <f t="shared" ca="1" si="66"/>
        <v>17.332500000000163</v>
      </c>
      <c r="E326" s="197">
        <f t="shared" ca="1" si="67"/>
        <v>17.333500000000164</v>
      </c>
      <c r="F326" s="93" t="str">
        <f t="shared" ca="1" si="68"/>
        <v>17.333 to 17.334</v>
      </c>
      <c r="G326" s="97">
        <f ca="1">COUNTIF(SPC!$C$37:$BA$37,"&lt;="&amp;E326)-COUNTIF(SPC!$C$37:$BA$37,"&lt;="&amp;D326)</f>
        <v>0</v>
      </c>
      <c r="H326" s="93">
        <f t="shared" ca="1" si="64"/>
        <v>5.6940848224021665E-69</v>
      </c>
      <c r="I326" s="104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143"/>
    </row>
    <row r="327" spans="1:23" x14ac:dyDescent="0.25">
      <c r="A327" s="144"/>
      <c r="B327" s="148"/>
      <c r="C327" s="93">
        <f t="shared" si="65"/>
        <v>136</v>
      </c>
      <c r="D327" s="197">
        <f t="shared" ca="1" si="66"/>
        <v>17.333500000000164</v>
      </c>
      <c r="E327" s="197">
        <f t="shared" ca="1" si="67"/>
        <v>17.334500000000165</v>
      </c>
      <c r="F327" s="93" t="str">
        <f t="shared" ca="1" si="68"/>
        <v>17.334 to 17.335</v>
      </c>
      <c r="G327" s="97">
        <f ca="1">COUNTIF(SPC!$C$37:$BA$37,"&lt;="&amp;E327)-COUNTIF(SPC!$C$37:$BA$37,"&lt;="&amp;D327)</f>
        <v>0</v>
      </c>
      <c r="H327" s="93">
        <f t="shared" ca="1" si="64"/>
        <v>2.5188172141492571E-70</v>
      </c>
      <c r="I327" s="104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143"/>
    </row>
    <row r="328" spans="1:23" x14ac:dyDescent="0.25">
      <c r="A328" s="144"/>
      <c r="B328" s="148"/>
      <c r="C328" s="93">
        <f t="shared" si="65"/>
        <v>137</v>
      </c>
      <c r="D328" s="197">
        <f t="shared" ca="1" si="66"/>
        <v>17.334500000000165</v>
      </c>
      <c r="E328" s="197">
        <f t="shared" ca="1" si="67"/>
        <v>17.335500000000167</v>
      </c>
      <c r="F328" s="93" t="str">
        <f t="shared" ca="1" si="68"/>
        <v>17.335 to 17.336</v>
      </c>
      <c r="G328" s="97">
        <f ca="1">COUNTIF(SPC!$C$37:$BA$37,"&lt;="&amp;E328)-COUNTIF(SPC!$C$37:$BA$37,"&lt;="&amp;D328)</f>
        <v>0</v>
      </c>
      <c r="H328" s="93">
        <f t="shared" ca="1" si="64"/>
        <v>1.0814595007489577E-71</v>
      </c>
      <c r="I328" s="104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143"/>
    </row>
    <row r="329" spans="1:23" x14ac:dyDescent="0.25">
      <c r="A329" s="144"/>
      <c r="B329" s="148"/>
      <c r="C329" s="93">
        <f t="shared" si="65"/>
        <v>138</v>
      </c>
      <c r="D329" s="197">
        <f t="shared" ca="1" si="66"/>
        <v>17.335500000000167</v>
      </c>
      <c r="E329" s="197">
        <f t="shared" ca="1" si="67"/>
        <v>17.336500000000168</v>
      </c>
      <c r="F329" s="93" t="str">
        <f t="shared" ca="1" si="68"/>
        <v>17.336 to 17.337</v>
      </c>
      <c r="G329" s="97">
        <f ca="1">COUNTIF(SPC!$C$37:$BA$37,"&lt;="&amp;E329)-COUNTIF(SPC!$C$37:$BA$37,"&lt;="&amp;D329)</f>
        <v>0</v>
      </c>
      <c r="H329" s="93">
        <f t="shared" ca="1" si="64"/>
        <v>4.5067633637454017E-73</v>
      </c>
      <c r="I329" s="104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143"/>
    </row>
    <row r="330" spans="1:23" x14ac:dyDescent="0.25">
      <c r="A330" s="144"/>
      <c r="B330" s="148"/>
      <c r="C330" s="93">
        <f t="shared" si="65"/>
        <v>139</v>
      </c>
      <c r="D330" s="197">
        <f t="shared" ca="1" si="66"/>
        <v>17.336500000000168</v>
      </c>
      <c r="E330" s="197">
        <f t="shared" ca="1" si="67"/>
        <v>17.337500000000169</v>
      </c>
      <c r="F330" s="93" t="str">
        <f t="shared" ca="1" si="68"/>
        <v>17.337 to 17.338</v>
      </c>
      <c r="G330" s="97">
        <f ca="1">COUNTIF(SPC!$C$37:$BA$37,"&lt;="&amp;E330)-COUNTIF(SPC!$C$37:$BA$37,"&lt;="&amp;D330)</f>
        <v>0</v>
      </c>
      <c r="H330" s="93">
        <f t="shared" ca="1" si="64"/>
        <v>1.8228886353625937E-74</v>
      </c>
      <c r="I330" s="104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143"/>
    </row>
    <row r="331" spans="1:23" x14ac:dyDescent="0.25">
      <c r="A331" s="144"/>
      <c r="B331" s="148"/>
      <c r="C331" s="93">
        <f t="shared" si="65"/>
        <v>140</v>
      </c>
      <c r="D331" s="197">
        <f t="shared" ca="1" si="66"/>
        <v>17.337500000000169</v>
      </c>
      <c r="E331" s="197">
        <f t="shared" ca="1" si="67"/>
        <v>17.33850000000017</v>
      </c>
      <c r="F331" s="93" t="str">
        <f t="shared" ca="1" si="68"/>
        <v>17.338 to 17.339</v>
      </c>
      <c r="G331" s="97">
        <f ca="1">COUNTIF(SPC!$C$37:$BA$37,"&lt;="&amp;E331)-COUNTIF(SPC!$C$37:$BA$37,"&lt;="&amp;D331)</f>
        <v>0</v>
      </c>
      <c r="H331" s="93">
        <f t="shared" ca="1" si="64"/>
        <v>7.1564296571365126E-76</v>
      </c>
      <c r="I331" s="104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143"/>
    </row>
    <row r="332" spans="1:23" x14ac:dyDescent="0.25">
      <c r="A332" s="144"/>
      <c r="B332" s="148"/>
      <c r="C332" s="93">
        <f t="shared" si="65"/>
        <v>141</v>
      </c>
      <c r="D332" s="197">
        <f t="shared" ca="1" si="66"/>
        <v>17.33850000000017</v>
      </c>
      <c r="E332" s="197">
        <f t="shared" ca="1" si="67"/>
        <v>17.339500000000172</v>
      </c>
      <c r="F332" s="93" t="str">
        <f t="shared" ca="1" si="68"/>
        <v>17.339 to 17.340</v>
      </c>
      <c r="G332" s="97">
        <f ca="1">COUNTIF(SPC!$C$37:$BA$37,"&lt;="&amp;E332)-COUNTIF(SPC!$C$37:$BA$37,"&lt;="&amp;D332)</f>
        <v>0</v>
      </c>
      <c r="H332" s="93">
        <f t="shared" ca="1" si="64"/>
        <v>2.7269273235123452E-77</v>
      </c>
      <c r="I332" s="104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143"/>
    </row>
    <row r="333" spans="1:23" x14ac:dyDescent="0.25">
      <c r="A333" s="144"/>
      <c r="B333" s="148"/>
      <c r="C333" s="93">
        <f t="shared" si="65"/>
        <v>142</v>
      </c>
      <c r="D333" s="197">
        <f t="shared" ca="1" si="66"/>
        <v>17.339500000000172</v>
      </c>
      <c r="E333" s="197">
        <f t="shared" ca="1" si="67"/>
        <v>17.340500000000173</v>
      </c>
      <c r="F333" s="93" t="str">
        <f t="shared" ca="1" si="68"/>
        <v>17.340 to 17.341</v>
      </c>
      <c r="G333" s="97">
        <f ca="1">COUNTIF(SPC!$C$37:$BA$37,"&lt;="&amp;E333)-COUNTIF(SPC!$C$37:$BA$37,"&lt;="&amp;D333)</f>
        <v>0</v>
      </c>
      <c r="H333" s="93">
        <f t="shared" ca="1" si="64"/>
        <v>1.008536470088314E-78</v>
      </c>
      <c r="I333" s="104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143"/>
    </row>
    <row r="334" spans="1:23" x14ac:dyDescent="0.25">
      <c r="A334" s="144"/>
      <c r="B334" s="148"/>
      <c r="C334" s="93">
        <f t="shared" si="65"/>
        <v>143</v>
      </c>
      <c r="D334" s="197">
        <f t="shared" ca="1" si="66"/>
        <v>17.340500000000173</v>
      </c>
      <c r="E334" s="197">
        <f t="shared" ca="1" si="67"/>
        <v>17.341500000000174</v>
      </c>
      <c r="F334" s="93" t="str">
        <f t="shared" ca="1" si="68"/>
        <v>17.341 to 17.342</v>
      </c>
      <c r="G334" s="97">
        <f ca="1">COUNTIF(SPC!$C$37:$BA$37,"&lt;="&amp;E334)-COUNTIF(SPC!$C$37:$BA$37,"&lt;="&amp;D334)</f>
        <v>0</v>
      </c>
      <c r="H334" s="93">
        <f t="shared" ca="1" si="64"/>
        <v>3.6203498374031751E-80</v>
      </c>
      <c r="I334" s="104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143"/>
    </row>
    <row r="335" spans="1:23" x14ac:dyDescent="0.25">
      <c r="A335" s="144"/>
      <c r="B335" s="148"/>
      <c r="C335" s="93">
        <f t="shared" si="65"/>
        <v>144</v>
      </c>
      <c r="D335" s="197">
        <f t="shared" ca="1" si="66"/>
        <v>17.341500000000174</v>
      </c>
      <c r="E335" s="197">
        <f t="shared" ca="1" si="67"/>
        <v>17.342500000000175</v>
      </c>
      <c r="F335" s="93" t="str">
        <f t="shared" ca="1" si="68"/>
        <v>17.342 to 17.343</v>
      </c>
      <c r="G335" s="97">
        <f ca="1">COUNTIF(SPC!$C$37:$BA$37,"&lt;="&amp;E335)-COUNTIF(SPC!$C$37:$BA$37,"&lt;="&amp;D335)</f>
        <v>0</v>
      </c>
      <c r="H335" s="93">
        <f t="shared" ca="1" si="64"/>
        <v>1.2613928279522193E-81</v>
      </c>
      <c r="I335" s="104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143"/>
    </row>
    <row r="336" spans="1:23" x14ac:dyDescent="0.25">
      <c r="A336" s="144"/>
      <c r="B336" s="148"/>
      <c r="C336" s="93">
        <f t="shared" si="65"/>
        <v>145</v>
      </c>
      <c r="D336" s="197">
        <f t="shared" ca="1" si="66"/>
        <v>17.342500000000175</v>
      </c>
      <c r="E336" s="197">
        <f t="shared" ca="1" si="67"/>
        <v>17.343500000000176</v>
      </c>
      <c r="F336" s="93" t="str">
        <f t="shared" ca="1" si="68"/>
        <v>17.343 to 17.344</v>
      </c>
      <c r="G336" s="97">
        <f ca="1">COUNTIF(SPC!$C$37:$BA$37,"&lt;="&amp;E336)-COUNTIF(SPC!$C$37:$BA$37,"&lt;="&amp;D336)</f>
        <v>0</v>
      </c>
      <c r="H336" s="93">
        <f t="shared" ca="1" si="64"/>
        <v>4.2657074081486721E-83</v>
      </c>
      <c r="I336" s="104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143"/>
    </row>
    <row r="337" spans="1:23" x14ac:dyDescent="0.25">
      <c r="A337" s="144"/>
      <c r="B337" s="148"/>
      <c r="C337" s="93">
        <f t="shared" si="65"/>
        <v>146</v>
      </c>
      <c r="D337" s="197">
        <f t="shared" ca="1" si="66"/>
        <v>17.343500000000176</v>
      </c>
      <c r="E337" s="197">
        <f t="shared" ca="1" si="67"/>
        <v>17.344500000000178</v>
      </c>
      <c r="F337" s="93" t="str">
        <f t="shared" ca="1" si="68"/>
        <v>17.344 to 17.345</v>
      </c>
      <c r="G337" s="97">
        <f ca="1">COUNTIF(SPC!$C$37:$BA$37,"&lt;="&amp;E337)-COUNTIF(SPC!$C$37:$BA$37,"&lt;="&amp;D337)</f>
        <v>0</v>
      </c>
      <c r="H337" s="93">
        <f t="shared" ca="1" si="64"/>
        <v>1.4001438471564498E-84</v>
      </c>
      <c r="I337" s="104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143"/>
    </row>
    <row r="338" spans="1:23" x14ac:dyDescent="0.25">
      <c r="A338" s="144"/>
      <c r="B338" s="148"/>
      <c r="C338" s="93">
        <f t="shared" si="65"/>
        <v>147</v>
      </c>
      <c r="D338" s="197">
        <f t="shared" ca="1" si="66"/>
        <v>17.344500000000178</v>
      </c>
      <c r="E338" s="197">
        <f t="shared" ca="1" si="67"/>
        <v>17.345500000000179</v>
      </c>
      <c r="F338" s="93" t="str">
        <f t="shared" ca="1" si="68"/>
        <v>17.345 to 17.346</v>
      </c>
      <c r="G338" s="97">
        <f ca="1">COUNTIF(SPC!$C$37:$BA$37,"&lt;="&amp;E338)-COUNTIF(SPC!$C$37:$BA$37,"&lt;="&amp;D338)</f>
        <v>0</v>
      </c>
      <c r="H338" s="93">
        <f t="shared" ca="1" si="64"/>
        <v>4.4606190689116276E-86</v>
      </c>
      <c r="I338" s="104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143"/>
    </row>
    <row r="339" spans="1:23" x14ac:dyDescent="0.25">
      <c r="A339" s="144"/>
      <c r="B339" s="148"/>
      <c r="C339" s="93">
        <f t="shared" si="65"/>
        <v>148</v>
      </c>
      <c r="D339" s="197">
        <f t="shared" ca="1" si="66"/>
        <v>17.345500000000179</v>
      </c>
      <c r="E339" s="197">
        <f t="shared" ca="1" si="67"/>
        <v>17.34650000000018</v>
      </c>
      <c r="F339" s="93" t="str">
        <f t="shared" ca="1" si="68"/>
        <v>17.346 to 17.347</v>
      </c>
      <c r="G339" s="97">
        <f ca="1">COUNTIF(SPC!$C$37:$BA$37,"&lt;="&amp;E339)-COUNTIF(SPC!$C$37:$BA$37,"&lt;="&amp;D339)</f>
        <v>0</v>
      </c>
      <c r="H339" s="93">
        <f t="shared" ca="1" si="64"/>
        <v>1.3792992634292932E-87</v>
      </c>
      <c r="I339" s="104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143"/>
    </row>
    <row r="340" spans="1:23" x14ac:dyDescent="0.25">
      <c r="A340" s="144"/>
      <c r="B340" s="148"/>
      <c r="C340" s="93">
        <f t="shared" si="65"/>
        <v>149</v>
      </c>
      <c r="D340" s="197">
        <f t="shared" ca="1" si="66"/>
        <v>17.34650000000018</v>
      </c>
      <c r="E340" s="197">
        <f t="shared" ca="1" si="67"/>
        <v>17.347500000000181</v>
      </c>
      <c r="F340" s="93" t="str">
        <f t="shared" ca="1" si="68"/>
        <v>17.347 to 17.348</v>
      </c>
      <c r="G340" s="97">
        <f ca="1">COUNTIF(SPC!$C$37:$BA$37,"&lt;="&amp;E340)-COUNTIF(SPC!$C$37:$BA$37,"&lt;="&amp;D340)</f>
        <v>0</v>
      </c>
      <c r="H340" s="93">
        <f t="shared" ca="1" si="64"/>
        <v>4.1396417583423977E-89</v>
      </c>
      <c r="I340" s="104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143"/>
    </row>
    <row r="341" spans="1:23" x14ac:dyDescent="0.25">
      <c r="A341" s="144"/>
      <c r="B341" s="148"/>
      <c r="C341" s="93">
        <f t="shared" si="65"/>
        <v>150</v>
      </c>
      <c r="D341" s="197">
        <f t="shared" ca="1" si="66"/>
        <v>17.347500000000181</v>
      </c>
      <c r="E341" s="197">
        <f t="shared" ca="1" si="67"/>
        <v>17.348500000000183</v>
      </c>
      <c r="F341" s="93" t="str">
        <f t="shared" ca="1" si="68"/>
        <v>17.348 to 17.349</v>
      </c>
      <c r="G341" s="97">
        <f ca="1">COUNTIF(SPC!$C$37:$BA$37,"&lt;="&amp;E341)-COUNTIF(SPC!$C$37:$BA$37,"&lt;="&amp;D341)</f>
        <v>0</v>
      </c>
      <c r="H341" s="93">
        <f t="shared" ca="1" si="64"/>
        <v>1.2058905766717004E-90</v>
      </c>
      <c r="I341" s="104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143"/>
    </row>
    <row r="342" spans="1:23" x14ac:dyDescent="0.25">
      <c r="A342" s="144"/>
      <c r="B342" s="88"/>
      <c r="C342" s="104"/>
      <c r="D342" s="104"/>
      <c r="E342" s="104"/>
      <c r="F342" s="104"/>
      <c r="G342" s="104"/>
      <c r="H342" s="104"/>
      <c r="I342" s="104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143"/>
    </row>
    <row r="343" spans="1:23" x14ac:dyDescent="0.25">
      <c r="A343" s="144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143"/>
    </row>
    <row r="344" spans="1:23" x14ac:dyDescent="0.25">
      <c r="A344" s="140"/>
      <c r="B344" s="141"/>
      <c r="C344" s="142"/>
      <c r="D344" s="142"/>
      <c r="E344" s="142"/>
      <c r="F344" s="142"/>
      <c r="G344" s="142"/>
      <c r="H344" s="142"/>
      <c r="I344" s="142"/>
      <c r="J344" s="142"/>
      <c r="K344" s="14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149"/>
    </row>
    <row r="345" spans="1:23" x14ac:dyDescent="0.25">
      <c r="A345" s="140"/>
      <c r="B345" s="141"/>
      <c r="C345" s="142"/>
      <c r="D345" s="142"/>
      <c r="E345" s="142"/>
      <c r="F345" s="142"/>
      <c r="G345" s="142"/>
      <c r="H345" s="142"/>
      <c r="I345" s="142"/>
      <c r="J345" s="142"/>
      <c r="K345" s="14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149"/>
    </row>
    <row r="346" spans="1:23" x14ac:dyDescent="0.25">
      <c r="A346" s="140"/>
      <c r="B346" s="141"/>
      <c r="C346" s="142"/>
      <c r="D346" s="142"/>
      <c r="E346" s="142"/>
      <c r="F346" s="142"/>
      <c r="G346" s="142"/>
      <c r="H346" s="142"/>
      <c r="I346" s="142"/>
      <c r="J346" s="142"/>
      <c r="K346" s="14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149"/>
    </row>
    <row r="347" spans="1:23" ht="13.8" thickBot="1" x14ac:dyDescent="0.3">
      <c r="A347" s="150"/>
      <c r="B347" s="151"/>
      <c r="C347" s="152"/>
      <c r="D347" s="152"/>
      <c r="E347" s="152"/>
      <c r="F347" s="152"/>
      <c r="G347" s="152"/>
      <c r="H347" s="152"/>
      <c r="I347" s="152"/>
      <c r="J347" s="152"/>
      <c r="K347" s="152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4"/>
    </row>
  </sheetData>
  <mergeCells count="14">
    <mergeCell ref="AE6:AH6"/>
    <mergeCell ref="W6:Z6"/>
    <mergeCell ref="AA6:AD6"/>
    <mergeCell ref="R15:S15"/>
    <mergeCell ref="A183:C183"/>
    <mergeCell ref="A182:C182"/>
    <mergeCell ref="A181:C181"/>
    <mergeCell ref="A180:C180"/>
    <mergeCell ref="A184:C184"/>
    <mergeCell ref="A189:C189"/>
    <mergeCell ref="A188:C188"/>
    <mergeCell ref="A187:C187"/>
    <mergeCell ref="A186:C186"/>
    <mergeCell ref="A185:C185"/>
  </mergeCells>
  <conditionalFormatting sqref="P11:Q11">
    <cfRule type="cellIs" dxfId="4" priority="1" stopIfTrue="1" operator="greaterThanOrEqual">
      <formula>1</formula>
    </cfRule>
  </conditionalFormatting>
  <conditionalFormatting sqref="Q12:Q13 Q9 Q7">
    <cfRule type="cellIs" dxfId="3" priority="2" stopIfTrue="1" operator="greaterThanOrEqual">
      <formula>7</formula>
    </cfRule>
    <cfRule type="cellIs" dxfId="2" priority="3" stopIfTrue="1" operator="equal">
      <formula>6</formula>
    </cfRule>
  </conditionalFormatting>
  <conditionalFormatting sqref="P43 Q46">
    <cfRule type="cellIs" dxfId="1" priority="4" stopIfTrue="1" operator="greaterThan">
      <formula>$BJ$215</formula>
    </cfRule>
    <cfRule type="cellIs" dxfId="0" priority="5" stopIfTrue="1" operator="lessThan">
      <formula>$BJ$216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SPC</vt:lpstr>
      <vt:lpstr>Formule</vt:lpstr>
      <vt:lpstr>SPC!Print_Area</vt:lpstr>
    </vt:vector>
  </TitlesOfParts>
  <Company>HEPC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SPC Team</dc:title>
  <dc:creator>Christian Erni</dc:creator>
  <cp:lastModifiedBy>Dicky</cp:lastModifiedBy>
  <cp:lastPrinted>2006-05-25T00:53:05Z</cp:lastPrinted>
  <dcterms:created xsi:type="dcterms:W3CDTF">2006-01-25T08:40:26Z</dcterms:created>
  <dcterms:modified xsi:type="dcterms:W3CDTF">2018-05-24T09:27:40Z</dcterms:modified>
</cp:coreProperties>
</file>